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robin/Library/Containers/com.microsoft.Excel/Data/rivon-tmp/"/>
    </mc:Choice>
  </mc:AlternateContent>
  <xr:revisionPtr revIDLastSave="0" documentId="13_ncr:1_{1C1C8D15-A58F-1149-8DBE-17596A0F271B}" xr6:coauthVersionLast="47" xr6:coauthVersionMax="47" xr10:uidLastSave="{00000000-0000-0000-0000-000000000000}"/>
  <bookViews>
    <workbookView xWindow="0" yWindow="660" windowWidth="30240" windowHeight="17480" xr2:uid="{00000000-000D-0000-FFFF-FFFF00000000}"/>
  </bookViews>
  <sheets>
    <sheet name="Read me" sheetId="1" r:id="rId1"/>
    <sheet name="Inputs" sheetId="2" r:id="rId2"/>
    <sheet name="Summary" sheetId="3" r:id="rId3"/>
    <sheet name="Monthly" sheetId="4" r:id="rId4"/>
    <sheet name="Sensitivity workings" sheetId="5" r:id="rId5"/>
  </sheets>
  <definedNames>
    <definedName name="_xlnm.Print_Area" localSheetId="2">Summary!$A$1:$I$51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3" i="5" l="1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BR4" i="5"/>
  <c r="BJ4" i="5"/>
  <c r="BB4" i="5"/>
  <c r="AT4" i="5"/>
  <c r="AL4" i="5"/>
  <c r="AD4" i="5"/>
  <c r="V4" i="5"/>
  <c r="N4" i="5"/>
  <c r="K38" i="5" s="1"/>
  <c r="L38" i="5" s="1"/>
  <c r="F4" i="5"/>
  <c r="Y41" i="4"/>
  <c r="X41" i="4"/>
  <c r="C41" i="4"/>
  <c r="D41" i="4" s="1"/>
  <c r="B41" i="4"/>
  <c r="Y40" i="4"/>
  <c r="X40" i="4"/>
  <c r="C40" i="4"/>
  <c r="D40" i="4" s="1"/>
  <c r="B40" i="4"/>
  <c r="Y39" i="4"/>
  <c r="X39" i="4"/>
  <c r="C39" i="4"/>
  <c r="D39" i="4" s="1"/>
  <c r="B39" i="4"/>
  <c r="Y38" i="4"/>
  <c r="X38" i="4"/>
  <c r="C38" i="4"/>
  <c r="D38" i="4" s="1"/>
  <c r="B38" i="4"/>
  <c r="Y37" i="4"/>
  <c r="X37" i="4"/>
  <c r="C37" i="4"/>
  <c r="D37" i="4" s="1"/>
  <c r="B37" i="4"/>
  <c r="Y36" i="4"/>
  <c r="X36" i="4"/>
  <c r="C36" i="4"/>
  <c r="D36" i="4" s="1"/>
  <c r="B36" i="4"/>
  <c r="Y35" i="4"/>
  <c r="X35" i="4"/>
  <c r="C35" i="4"/>
  <c r="D35" i="4" s="1"/>
  <c r="B35" i="4"/>
  <c r="Y34" i="4"/>
  <c r="X34" i="4"/>
  <c r="C34" i="4"/>
  <c r="D34" i="4" s="1"/>
  <c r="B34" i="4"/>
  <c r="Y33" i="4"/>
  <c r="X33" i="4"/>
  <c r="C33" i="4"/>
  <c r="D33" i="4" s="1"/>
  <c r="B33" i="4"/>
  <c r="Y32" i="4"/>
  <c r="X32" i="4"/>
  <c r="C32" i="4"/>
  <c r="D32" i="4" s="1"/>
  <c r="B32" i="4"/>
  <c r="Y31" i="4"/>
  <c r="X31" i="4"/>
  <c r="C31" i="4"/>
  <c r="D31" i="4" s="1"/>
  <c r="B31" i="4"/>
  <c r="Y30" i="4"/>
  <c r="X30" i="4"/>
  <c r="C30" i="4"/>
  <c r="D30" i="4" s="1"/>
  <c r="B30" i="4"/>
  <c r="Y29" i="4"/>
  <c r="X29" i="4"/>
  <c r="C29" i="4"/>
  <c r="D29" i="4" s="1"/>
  <c r="B29" i="4"/>
  <c r="Y28" i="4"/>
  <c r="X28" i="4"/>
  <c r="C28" i="4"/>
  <c r="D28" i="4" s="1"/>
  <c r="B28" i="4"/>
  <c r="Y27" i="4"/>
  <c r="X27" i="4"/>
  <c r="C27" i="4"/>
  <c r="D27" i="4" s="1"/>
  <c r="B27" i="4"/>
  <c r="Y26" i="4"/>
  <c r="X26" i="4"/>
  <c r="C26" i="4"/>
  <c r="D26" i="4" s="1"/>
  <c r="B26" i="4"/>
  <c r="Y25" i="4"/>
  <c r="X25" i="4"/>
  <c r="C25" i="4"/>
  <c r="D25" i="4" s="1"/>
  <c r="B25" i="4"/>
  <c r="Y24" i="4"/>
  <c r="X24" i="4"/>
  <c r="C24" i="4"/>
  <c r="D24" i="4" s="1"/>
  <c r="B24" i="4"/>
  <c r="Y23" i="4"/>
  <c r="X23" i="4"/>
  <c r="C23" i="4"/>
  <c r="D23" i="4" s="1"/>
  <c r="B23" i="4"/>
  <c r="Y22" i="4"/>
  <c r="X22" i="4"/>
  <c r="C22" i="4"/>
  <c r="D22" i="4" s="1"/>
  <c r="B22" i="4"/>
  <c r="Y21" i="4"/>
  <c r="X21" i="4"/>
  <c r="C21" i="4"/>
  <c r="D21" i="4" s="1"/>
  <c r="B21" i="4"/>
  <c r="Y20" i="4"/>
  <c r="X20" i="4"/>
  <c r="G20" i="4"/>
  <c r="C20" i="4"/>
  <c r="D20" i="4" s="1"/>
  <c r="B20" i="4"/>
  <c r="Y19" i="4"/>
  <c r="X19" i="4"/>
  <c r="C19" i="4"/>
  <c r="D19" i="4" s="1"/>
  <c r="B19" i="4"/>
  <c r="G19" i="4" s="1"/>
  <c r="Y18" i="4"/>
  <c r="X18" i="4"/>
  <c r="C18" i="4"/>
  <c r="D18" i="4" s="1"/>
  <c r="B18" i="4"/>
  <c r="Y17" i="4"/>
  <c r="X17" i="4"/>
  <c r="C17" i="4"/>
  <c r="D17" i="4" s="1"/>
  <c r="B17" i="4"/>
  <c r="Y16" i="4"/>
  <c r="X16" i="4"/>
  <c r="C16" i="4"/>
  <c r="D16" i="4" s="1"/>
  <c r="B16" i="4"/>
  <c r="Y15" i="4"/>
  <c r="X15" i="4"/>
  <c r="C15" i="4"/>
  <c r="D15" i="4" s="1"/>
  <c r="B15" i="4"/>
  <c r="Y14" i="4"/>
  <c r="X14" i="4"/>
  <c r="C14" i="4"/>
  <c r="D14" i="4" s="1"/>
  <c r="B14" i="4"/>
  <c r="Y13" i="4"/>
  <c r="X13" i="4"/>
  <c r="C13" i="4"/>
  <c r="D13" i="4" s="1"/>
  <c r="B13" i="4"/>
  <c r="B15" i="5" s="1"/>
  <c r="Y12" i="4"/>
  <c r="X12" i="4"/>
  <c r="C12" i="4"/>
  <c r="D12" i="4" s="1"/>
  <c r="B12" i="4"/>
  <c r="Y11" i="4"/>
  <c r="X11" i="4"/>
  <c r="C11" i="4"/>
  <c r="D11" i="4" s="1"/>
  <c r="B11" i="4"/>
  <c r="Y10" i="4"/>
  <c r="X10" i="4"/>
  <c r="C10" i="4"/>
  <c r="D10" i="4" s="1"/>
  <c r="B10" i="4"/>
  <c r="Y9" i="4"/>
  <c r="X9" i="4"/>
  <c r="C9" i="4"/>
  <c r="D9" i="4" s="1"/>
  <c r="B9" i="4"/>
  <c r="B11" i="5" s="1"/>
  <c r="Y8" i="4"/>
  <c r="X8" i="4"/>
  <c r="C8" i="4"/>
  <c r="D8" i="4" s="1"/>
  <c r="B8" i="4"/>
  <c r="B10" i="5" s="1"/>
  <c r="Y7" i="4"/>
  <c r="X7" i="4"/>
  <c r="G7" i="4"/>
  <c r="C7" i="4"/>
  <c r="D7" i="4" s="1"/>
  <c r="B7" i="4"/>
  <c r="B9" i="5" s="1"/>
  <c r="Y6" i="4"/>
  <c r="X6" i="4"/>
  <c r="G6" i="4"/>
  <c r="C6" i="4"/>
  <c r="D6" i="4" s="1"/>
  <c r="B6" i="4"/>
  <c r="B8" i="5" s="1"/>
  <c r="Q5" i="4"/>
  <c r="P5" i="4"/>
  <c r="O5" i="4"/>
  <c r="N5" i="4"/>
  <c r="M5" i="4"/>
  <c r="L5" i="4"/>
  <c r="K5" i="4"/>
  <c r="J5" i="4"/>
  <c r="I5" i="4"/>
  <c r="H5" i="4"/>
  <c r="G5" i="4"/>
  <c r="E5" i="4"/>
  <c r="C5" i="4"/>
  <c r="D5" i="4" s="1"/>
  <c r="B5" i="4"/>
  <c r="B7" i="5" s="1"/>
  <c r="B6" i="3"/>
  <c r="B57" i="2"/>
  <c r="B58" i="2" s="1"/>
  <c r="B55" i="2"/>
  <c r="B54" i="2"/>
  <c r="B56" i="2" s="1"/>
  <c r="B49" i="2"/>
  <c r="B28" i="2"/>
  <c r="B27" i="2"/>
  <c r="D27" i="2" s="1"/>
  <c r="C38" i="5" l="1"/>
  <c r="D38" i="5" s="1"/>
  <c r="Q34" i="4"/>
  <c r="P34" i="4"/>
  <c r="BO43" i="5"/>
  <c r="BP43" i="5" s="1"/>
  <c r="BG43" i="5"/>
  <c r="BH43" i="5" s="1"/>
  <c r="AY43" i="5"/>
  <c r="AZ43" i="5" s="1"/>
  <c r="AQ43" i="5"/>
  <c r="AR43" i="5" s="1"/>
  <c r="AI43" i="5"/>
  <c r="AJ43" i="5" s="1"/>
  <c r="AA43" i="5"/>
  <c r="AB43" i="5" s="1"/>
  <c r="S43" i="5"/>
  <c r="T43" i="5" s="1"/>
  <c r="K43" i="5"/>
  <c r="L43" i="5" s="1"/>
  <c r="C43" i="5"/>
  <c r="D43" i="5" s="1"/>
  <c r="C42" i="5"/>
  <c r="D42" i="5" s="1"/>
  <c r="BO42" i="5"/>
  <c r="BP42" i="5" s="1"/>
  <c r="BG42" i="5"/>
  <c r="BH42" i="5" s="1"/>
  <c r="AY42" i="5"/>
  <c r="AZ42" i="5" s="1"/>
  <c r="AQ42" i="5"/>
  <c r="AR42" i="5" s="1"/>
  <c r="AI42" i="5"/>
  <c r="AJ42" i="5" s="1"/>
  <c r="AA42" i="5"/>
  <c r="AB42" i="5" s="1"/>
  <c r="S42" i="5"/>
  <c r="T42" i="5" s="1"/>
  <c r="K42" i="5"/>
  <c r="L42" i="5" s="1"/>
  <c r="C41" i="5"/>
  <c r="D41" i="5" s="1"/>
  <c r="BO41" i="5"/>
  <c r="BP41" i="5" s="1"/>
  <c r="BG41" i="5"/>
  <c r="BH41" i="5" s="1"/>
  <c r="AY41" i="5"/>
  <c r="AZ41" i="5" s="1"/>
  <c r="AQ41" i="5"/>
  <c r="AR41" i="5" s="1"/>
  <c r="AI41" i="5"/>
  <c r="AJ41" i="5" s="1"/>
  <c r="AA41" i="5"/>
  <c r="AB41" i="5" s="1"/>
  <c r="S41" i="5"/>
  <c r="T41" i="5" s="1"/>
  <c r="K41" i="5"/>
  <c r="L41" i="5" s="1"/>
  <c r="K40" i="5"/>
  <c r="L40" i="5" s="1"/>
  <c r="C40" i="5"/>
  <c r="D40" i="5" s="1"/>
  <c r="BO40" i="5"/>
  <c r="BP40" i="5" s="1"/>
  <c r="BG40" i="5"/>
  <c r="BH40" i="5" s="1"/>
  <c r="AY40" i="5"/>
  <c r="AZ40" i="5" s="1"/>
  <c r="AQ40" i="5"/>
  <c r="AR40" i="5" s="1"/>
  <c r="AI40" i="5"/>
  <c r="AJ40" i="5" s="1"/>
  <c r="AA40" i="5"/>
  <c r="AB40" i="5" s="1"/>
  <c r="S40" i="5"/>
  <c r="T40" i="5" s="1"/>
  <c r="K39" i="5"/>
  <c r="L39" i="5" s="1"/>
  <c r="C39" i="5"/>
  <c r="D39" i="5" s="1"/>
  <c r="BO39" i="5"/>
  <c r="BP39" i="5" s="1"/>
  <c r="BG39" i="5"/>
  <c r="BH39" i="5" s="1"/>
  <c r="AY39" i="5"/>
  <c r="AZ39" i="5" s="1"/>
  <c r="AQ39" i="5"/>
  <c r="AR39" i="5" s="1"/>
  <c r="AI39" i="5"/>
  <c r="AJ39" i="5" s="1"/>
  <c r="AA39" i="5"/>
  <c r="AB39" i="5" s="1"/>
  <c r="S39" i="5"/>
  <c r="T39" i="5" s="1"/>
  <c r="C37" i="5"/>
  <c r="D37" i="5" s="1"/>
  <c r="BO37" i="5"/>
  <c r="BP37" i="5" s="1"/>
  <c r="BG37" i="5"/>
  <c r="BH37" i="5" s="1"/>
  <c r="AY37" i="5"/>
  <c r="AZ37" i="5" s="1"/>
  <c r="AQ37" i="5"/>
  <c r="AR37" i="5" s="1"/>
  <c r="AI37" i="5"/>
  <c r="AJ37" i="5" s="1"/>
  <c r="AA37" i="5"/>
  <c r="AB37" i="5" s="1"/>
  <c r="S37" i="5"/>
  <c r="T37" i="5" s="1"/>
  <c r="K37" i="5"/>
  <c r="L37" i="5" s="1"/>
  <c r="C36" i="5"/>
  <c r="D36" i="5" s="1"/>
  <c r="K36" i="5"/>
  <c r="L36" i="5" s="1"/>
  <c r="S36" i="5"/>
  <c r="T36" i="5" s="1"/>
  <c r="AA36" i="5"/>
  <c r="AB36" i="5" s="1"/>
  <c r="AI36" i="5"/>
  <c r="AJ36" i="5" s="1"/>
  <c r="AQ36" i="5"/>
  <c r="AR36" i="5" s="1"/>
  <c r="AY36" i="5"/>
  <c r="AZ36" i="5" s="1"/>
  <c r="BG36" i="5"/>
  <c r="BH36" i="5" s="1"/>
  <c r="BO36" i="5"/>
  <c r="BP36" i="5" s="1"/>
  <c r="AQ35" i="5"/>
  <c r="AR35" i="5" s="1"/>
  <c r="BO35" i="5"/>
  <c r="BP35" i="5" s="1"/>
  <c r="BG35" i="5"/>
  <c r="BH35" i="5" s="1"/>
  <c r="AY35" i="5"/>
  <c r="AZ35" i="5" s="1"/>
  <c r="C35" i="5"/>
  <c r="D35" i="5" s="1"/>
  <c r="AI35" i="5"/>
  <c r="AJ35" i="5" s="1"/>
  <c r="AA35" i="5"/>
  <c r="AB35" i="5" s="1"/>
  <c r="S35" i="5"/>
  <c r="T35" i="5" s="1"/>
  <c r="K35" i="5"/>
  <c r="L35" i="5" s="1"/>
  <c r="BO34" i="5"/>
  <c r="BP34" i="5" s="1"/>
  <c r="C34" i="5"/>
  <c r="D34" i="5" s="1"/>
  <c r="K34" i="5"/>
  <c r="L34" i="5" s="1"/>
  <c r="S34" i="5"/>
  <c r="T34" i="5" s="1"/>
  <c r="AA34" i="5"/>
  <c r="AB34" i="5" s="1"/>
  <c r="AI34" i="5"/>
  <c r="AJ34" i="5" s="1"/>
  <c r="AQ34" i="5"/>
  <c r="AR34" i="5" s="1"/>
  <c r="AY34" i="5"/>
  <c r="AZ34" i="5" s="1"/>
  <c r="BG34" i="5"/>
  <c r="BH34" i="5" s="1"/>
  <c r="K33" i="5"/>
  <c r="L33" i="5" s="1"/>
  <c r="S33" i="5"/>
  <c r="T33" i="5" s="1"/>
  <c r="AA33" i="5"/>
  <c r="AB33" i="5" s="1"/>
  <c r="AQ33" i="5"/>
  <c r="AR33" i="5" s="1"/>
  <c r="AI33" i="5"/>
  <c r="AJ33" i="5" s="1"/>
  <c r="BO33" i="5"/>
  <c r="BP33" i="5" s="1"/>
  <c r="BG33" i="5"/>
  <c r="BH33" i="5" s="1"/>
  <c r="AY33" i="5"/>
  <c r="AZ33" i="5" s="1"/>
  <c r="C33" i="5"/>
  <c r="D33" i="5" s="1"/>
  <c r="C32" i="5"/>
  <c r="D32" i="5" s="1"/>
  <c r="K32" i="5"/>
  <c r="L32" i="5" s="1"/>
  <c r="AQ31" i="5"/>
  <c r="AR31" i="5" s="1"/>
  <c r="BG31" i="5"/>
  <c r="BH31" i="5" s="1"/>
  <c r="BO31" i="5"/>
  <c r="BP31" i="5" s="1"/>
  <c r="AY31" i="5"/>
  <c r="AZ31" i="5" s="1"/>
  <c r="AI31" i="5"/>
  <c r="AJ31" i="5" s="1"/>
  <c r="AA31" i="5"/>
  <c r="AB31" i="5" s="1"/>
  <c r="S31" i="5"/>
  <c r="T31" i="5" s="1"/>
  <c r="K31" i="5"/>
  <c r="L31" i="5" s="1"/>
  <c r="C31" i="5"/>
  <c r="D31" i="5" s="1"/>
  <c r="K30" i="5"/>
  <c r="L30" i="5" s="1"/>
  <c r="S30" i="5"/>
  <c r="T30" i="5" s="1"/>
  <c r="AA30" i="5"/>
  <c r="AB30" i="5" s="1"/>
  <c r="AI30" i="5"/>
  <c r="AJ30" i="5" s="1"/>
  <c r="AY30" i="5"/>
  <c r="AZ30" i="5" s="1"/>
  <c r="AQ30" i="5"/>
  <c r="AR30" i="5" s="1"/>
  <c r="BO30" i="5"/>
  <c r="BP30" i="5" s="1"/>
  <c r="BG30" i="5"/>
  <c r="BH30" i="5" s="1"/>
  <c r="C30" i="5"/>
  <c r="D30" i="5" s="1"/>
  <c r="C29" i="5"/>
  <c r="D29" i="5" s="1"/>
  <c r="AQ29" i="5"/>
  <c r="AR29" i="5" s="1"/>
  <c r="AI29" i="5"/>
  <c r="AJ29" i="5" s="1"/>
  <c r="AA29" i="5"/>
  <c r="AB29" i="5" s="1"/>
  <c r="AY29" i="5"/>
  <c r="AZ29" i="5" s="1"/>
  <c r="S29" i="5"/>
  <c r="T29" i="5" s="1"/>
  <c r="K29" i="5"/>
  <c r="L29" i="5" s="1"/>
  <c r="BG29" i="5"/>
  <c r="BH29" i="5" s="1"/>
  <c r="BI29" i="5" s="1"/>
  <c r="BO29" i="5"/>
  <c r="BP29" i="5" s="1"/>
  <c r="BQ29" i="5" s="1"/>
  <c r="C28" i="5"/>
  <c r="D28" i="5" s="1"/>
  <c r="E28" i="5" s="1"/>
  <c r="BO28" i="5"/>
  <c r="BP28" i="5" s="1"/>
  <c r="BQ28" i="5" s="1"/>
  <c r="BG28" i="5"/>
  <c r="BH28" i="5" s="1"/>
  <c r="BI28" i="5" s="1"/>
  <c r="AY28" i="5"/>
  <c r="AZ28" i="5" s="1"/>
  <c r="BA28" i="5" s="1"/>
  <c r="AQ28" i="5"/>
  <c r="AR28" i="5" s="1"/>
  <c r="AS28" i="5" s="1"/>
  <c r="AI28" i="5"/>
  <c r="AJ28" i="5" s="1"/>
  <c r="AK28" i="5" s="1"/>
  <c r="AA28" i="5"/>
  <c r="AB28" i="5" s="1"/>
  <c r="AC28" i="5" s="1"/>
  <c r="S28" i="5"/>
  <c r="T28" i="5" s="1"/>
  <c r="U28" i="5" s="1"/>
  <c r="K28" i="5"/>
  <c r="L28" i="5" s="1"/>
  <c r="M28" i="5" s="1"/>
  <c r="AQ27" i="5"/>
  <c r="AR27" i="5" s="1"/>
  <c r="AS27" i="5" s="1"/>
  <c r="AY27" i="5"/>
  <c r="AZ27" i="5" s="1"/>
  <c r="BA27" i="5" s="1"/>
  <c r="BG27" i="5"/>
  <c r="BH27" i="5" s="1"/>
  <c r="BI27" i="5" s="1"/>
  <c r="BO27" i="5"/>
  <c r="BP27" i="5" s="1"/>
  <c r="BQ27" i="5" s="1"/>
  <c r="C27" i="5"/>
  <c r="D27" i="5" s="1"/>
  <c r="E27" i="5" s="1"/>
  <c r="AI27" i="5"/>
  <c r="AJ27" i="5" s="1"/>
  <c r="AK27" i="5" s="1"/>
  <c r="AA27" i="5"/>
  <c r="AB27" i="5" s="1"/>
  <c r="AC27" i="5" s="1"/>
  <c r="S27" i="5"/>
  <c r="T27" i="5" s="1"/>
  <c r="U27" i="5" s="1"/>
  <c r="K27" i="5"/>
  <c r="L27" i="5" s="1"/>
  <c r="M27" i="5" s="1"/>
  <c r="AY26" i="5"/>
  <c r="AZ26" i="5" s="1"/>
  <c r="BA26" i="5" s="1"/>
  <c r="AQ26" i="5"/>
  <c r="AR26" i="5" s="1"/>
  <c r="AS26" i="5" s="1"/>
  <c r="AI26" i="5"/>
  <c r="AJ26" i="5" s="1"/>
  <c r="AK26" i="5" s="1"/>
  <c r="AA26" i="5"/>
  <c r="AB26" i="5" s="1"/>
  <c r="AC26" i="5" s="1"/>
  <c r="S26" i="5"/>
  <c r="T26" i="5" s="1"/>
  <c r="U26" i="5" s="1"/>
  <c r="K26" i="5"/>
  <c r="L26" i="5" s="1"/>
  <c r="M26" i="5" s="1"/>
  <c r="C26" i="5"/>
  <c r="D26" i="5" s="1"/>
  <c r="E26" i="5" s="1"/>
  <c r="BG26" i="5"/>
  <c r="BH26" i="5" s="1"/>
  <c r="BI26" i="5" s="1"/>
  <c r="BO26" i="5"/>
  <c r="BP26" i="5" s="1"/>
  <c r="BQ26" i="5" s="1"/>
  <c r="C25" i="5"/>
  <c r="D25" i="5" s="1"/>
  <c r="E25" i="5" s="1"/>
  <c r="AY25" i="5"/>
  <c r="AZ25" i="5" s="1"/>
  <c r="BA25" i="5" s="1"/>
  <c r="AQ25" i="5"/>
  <c r="AR25" i="5" s="1"/>
  <c r="AS25" i="5" s="1"/>
  <c r="AI25" i="5"/>
  <c r="AJ25" i="5" s="1"/>
  <c r="AK25" i="5" s="1"/>
  <c r="S25" i="5"/>
  <c r="T25" i="5" s="1"/>
  <c r="U25" i="5" s="1"/>
  <c r="K25" i="5"/>
  <c r="L25" i="5" s="1"/>
  <c r="M25" i="5" s="1"/>
  <c r="BO25" i="5"/>
  <c r="BP25" i="5" s="1"/>
  <c r="BQ25" i="5" s="1"/>
  <c r="BG25" i="5"/>
  <c r="BH25" i="5" s="1"/>
  <c r="BI25" i="5" s="1"/>
  <c r="AA25" i="5"/>
  <c r="AB25" i="5" s="1"/>
  <c r="AC25" i="5" s="1"/>
  <c r="K24" i="5"/>
  <c r="L24" i="5" s="1"/>
  <c r="M24" i="5" s="1"/>
  <c r="AA24" i="5"/>
  <c r="AB24" i="5" s="1"/>
  <c r="AC24" i="5" s="1"/>
  <c r="C24" i="5"/>
  <c r="D24" i="5" s="1"/>
  <c r="E24" i="5" s="1"/>
  <c r="AI24" i="5"/>
  <c r="AJ24" i="5" s="1"/>
  <c r="AK24" i="5" s="1"/>
  <c r="BG24" i="5"/>
  <c r="BH24" i="5" s="1"/>
  <c r="BI24" i="5" s="1"/>
  <c r="BO24" i="5"/>
  <c r="BP24" i="5" s="1"/>
  <c r="BQ24" i="5" s="1"/>
  <c r="AY24" i="5"/>
  <c r="AZ24" i="5" s="1"/>
  <c r="BA24" i="5" s="1"/>
  <c r="AQ24" i="5"/>
  <c r="AR24" i="5" s="1"/>
  <c r="AS24" i="5" s="1"/>
  <c r="S24" i="5"/>
  <c r="T24" i="5" s="1"/>
  <c r="U24" i="5" s="1"/>
  <c r="AY23" i="5"/>
  <c r="AZ23" i="5" s="1"/>
  <c r="BA23" i="5" s="1"/>
  <c r="BO23" i="5"/>
  <c r="BP23" i="5" s="1"/>
  <c r="BQ23" i="5" s="1"/>
  <c r="C23" i="5"/>
  <c r="D23" i="5" s="1"/>
  <c r="E23" i="5" s="1"/>
  <c r="K23" i="5"/>
  <c r="L23" i="5" s="1"/>
  <c r="S23" i="5"/>
  <c r="T23" i="5" s="1"/>
  <c r="AA23" i="5"/>
  <c r="AB23" i="5" s="1"/>
  <c r="BG23" i="5"/>
  <c r="BH23" i="5" s="1"/>
  <c r="AI23" i="5"/>
  <c r="AJ23" i="5" s="1"/>
  <c r="AQ23" i="5"/>
  <c r="AR23" i="5" s="1"/>
  <c r="AQ22" i="5"/>
  <c r="AR22" i="5" s="1"/>
  <c r="AI22" i="5"/>
  <c r="AJ22" i="5" s="1"/>
  <c r="AA22" i="5"/>
  <c r="AB22" i="5" s="1"/>
  <c r="S22" i="5"/>
  <c r="T22" i="5" s="1"/>
  <c r="K22" i="5"/>
  <c r="L22" i="5" s="1"/>
  <c r="AY22" i="5"/>
  <c r="AZ22" i="5" s="1"/>
  <c r="BG22" i="5"/>
  <c r="BH22" i="5" s="1"/>
  <c r="BO22" i="5"/>
  <c r="BP22" i="5" s="1"/>
  <c r="C22" i="5"/>
  <c r="D22" i="5" s="1"/>
  <c r="S21" i="5"/>
  <c r="T21" i="5" s="1"/>
  <c r="AA21" i="5"/>
  <c r="AB21" i="5" s="1"/>
  <c r="K21" i="5"/>
  <c r="L21" i="5" s="1"/>
  <c r="C21" i="5"/>
  <c r="D21" i="5" s="1"/>
  <c r="AI21" i="5"/>
  <c r="AJ21" i="5" s="1"/>
  <c r="AQ21" i="5"/>
  <c r="AR21" i="5" s="1"/>
  <c r="AY21" i="5"/>
  <c r="AZ21" i="5" s="1"/>
  <c r="BG21" i="5"/>
  <c r="BH21" i="5" s="1"/>
  <c r="BO21" i="5"/>
  <c r="BP21" i="5" s="1"/>
  <c r="AQ20" i="5"/>
  <c r="AR20" i="5" s="1"/>
  <c r="AY20" i="5"/>
  <c r="AZ20" i="5" s="1"/>
  <c r="AA20" i="5"/>
  <c r="AB20" i="5" s="1"/>
  <c r="BO20" i="5"/>
  <c r="BP20" i="5" s="1"/>
  <c r="AI20" i="5"/>
  <c r="AJ20" i="5" s="1"/>
  <c r="BG20" i="5"/>
  <c r="BH20" i="5" s="1"/>
  <c r="S20" i="5"/>
  <c r="T20" i="5" s="1"/>
  <c r="K20" i="5"/>
  <c r="L20" i="5" s="1"/>
  <c r="C20" i="5"/>
  <c r="D20" i="5" s="1"/>
  <c r="S19" i="5"/>
  <c r="T19" i="5" s="1"/>
  <c r="AA19" i="5"/>
  <c r="AB19" i="5" s="1"/>
  <c r="AY19" i="5"/>
  <c r="AZ19" i="5" s="1"/>
  <c r="K19" i="5"/>
  <c r="L19" i="5" s="1"/>
  <c r="AI19" i="5"/>
  <c r="AJ19" i="5" s="1"/>
  <c r="BO19" i="5"/>
  <c r="BP19" i="5" s="1"/>
  <c r="BG19" i="5"/>
  <c r="BH19" i="5" s="1"/>
  <c r="AQ19" i="5"/>
  <c r="AR19" i="5" s="1"/>
  <c r="C19" i="5"/>
  <c r="D19" i="5" s="1"/>
  <c r="AY18" i="5"/>
  <c r="AZ18" i="5" s="1"/>
  <c r="AQ18" i="5"/>
  <c r="AR18" i="5" s="1"/>
  <c r="S18" i="5"/>
  <c r="T18" i="5" s="1"/>
  <c r="C18" i="5"/>
  <c r="D18" i="5" s="1"/>
  <c r="AI18" i="5"/>
  <c r="AJ18" i="5" s="1"/>
  <c r="AA18" i="5"/>
  <c r="AB18" i="5" s="1"/>
  <c r="BO18" i="5"/>
  <c r="BP18" i="5" s="1"/>
  <c r="K18" i="5"/>
  <c r="L18" i="5" s="1"/>
  <c r="BG18" i="5"/>
  <c r="BH18" i="5" s="1"/>
  <c r="AA17" i="5"/>
  <c r="AB17" i="5" s="1"/>
  <c r="BG17" i="5"/>
  <c r="BH17" i="5" s="1"/>
  <c r="K17" i="5"/>
  <c r="L17" i="5" s="1"/>
  <c r="AY17" i="5"/>
  <c r="AZ17" i="5" s="1"/>
  <c r="AQ17" i="5"/>
  <c r="AR17" i="5" s="1"/>
  <c r="AI17" i="5"/>
  <c r="AJ17" i="5" s="1"/>
  <c r="BO17" i="5"/>
  <c r="BP17" i="5" s="1"/>
  <c r="S17" i="5"/>
  <c r="T17" i="5" s="1"/>
  <c r="C17" i="5"/>
  <c r="D17" i="5" s="1"/>
  <c r="AY16" i="5"/>
  <c r="AZ16" i="5" s="1"/>
  <c r="BO16" i="5"/>
  <c r="BP16" i="5" s="1"/>
  <c r="K16" i="5"/>
  <c r="L16" i="5" s="1"/>
  <c r="S16" i="5"/>
  <c r="T16" i="5" s="1"/>
  <c r="AI16" i="5"/>
  <c r="AJ16" i="5" s="1"/>
  <c r="AQ16" i="5"/>
  <c r="AR16" i="5" s="1"/>
  <c r="BG16" i="5"/>
  <c r="BH16" i="5" s="1"/>
  <c r="C16" i="5"/>
  <c r="D16" i="5" s="1"/>
  <c r="AA16" i="5"/>
  <c r="AB16" i="5" s="1"/>
  <c r="AQ15" i="5"/>
  <c r="AR15" i="5" s="1"/>
  <c r="BO15" i="5"/>
  <c r="BP15" i="5" s="1"/>
  <c r="AA15" i="5"/>
  <c r="AB15" i="5" s="1"/>
  <c r="K15" i="5"/>
  <c r="L15" i="5" s="1"/>
  <c r="BG15" i="5"/>
  <c r="BH15" i="5" s="1"/>
  <c r="AI15" i="5"/>
  <c r="AJ15" i="5" s="1"/>
  <c r="S15" i="5"/>
  <c r="T15" i="5" s="1"/>
  <c r="C15" i="5"/>
  <c r="D15" i="5" s="1"/>
  <c r="AY15" i="5"/>
  <c r="AZ15" i="5" s="1"/>
  <c r="C14" i="5"/>
  <c r="D14" i="5" s="1"/>
  <c r="K14" i="5"/>
  <c r="L14" i="5" s="1"/>
  <c r="S14" i="5"/>
  <c r="T14" i="5" s="1"/>
  <c r="AA14" i="5"/>
  <c r="AB14" i="5" s="1"/>
  <c r="AQ13" i="5"/>
  <c r="AR13" i="5" s="1"/>
  <c r="AA13" i="5"/>
  <c r="AB13" i="5" s="1"/>
  <c r="AI13" i="5"/>
  <c r="AJ13" i="5" s="1"/>
  <c r="BG13" i="5"/>
  <c r="BH13" i="5" s="1"/>
  <c r="S13" i="5"/>
  <c r="T13" i="5" s="1"/>
  <c r="K13" i="5"/>
  <c r="L13" i="5" s="1"/>
  <c r="C13" i="5"/>
  <c r="D13" i="5" s="1"/>
  <c r="BO13" i="5"/>
  <c r="BP13" i="5" s="1"/>
  <c r="AY13" i="5"/>
  <c r="AZ13" i="5" s="1"/>
  <c r="K12" i="5"/>
  <c r="L12" i="5" s="1"/>
  <c r="S12" i="5"/>
  <c r="T12" i="5" s="1"/>
  <c r="AA12" i="5"/>
  <c r="AB12" i="5" s="1"/>
  <c r="C12" i="5"/>
  <c r="D12" i="5" s="1"/>
  <c r="AI12" i="5"/>
  <c r="AJ12" i="5" s="1"/>
  <c r="BO12" i="5"/>
  <c r="BP12" i="5" s="1"/>
  <c r="BG12" i="5"/>
  <c r="BH12" i="5" s="1"/>
  <c r="BI12" i="5" s="1"/>
  <c r="AY12" i="5"/>
  <c r="AZ12" i="5" s="1"/>
  <c r="BA12" i="5" s="1"/>
  <c r="AQ12" i="5"/>
  <c r="AR12" i="5" s="1"/>
  <c r="AS12" i="5" s="1"/>
  <c r="BG11" i="5"/>
  <c r="BH11" i="5" s="1"/>
  <c r="BI11" i="5" s="1"/>
  <c r="C11" i="5"/>
  <c r="D11" i="5" s="1"/>
  <c r="E11" i="5" s="1"/>
  <c r="AQ11" i="5"/>
  <c r="AR11" i="5" s="1"/>
  <c r="AS11" i="5" s="1"/>
  <c r="BO11" i="5"/>
  <c r="BP11" i="5" s="1"/>
  <c r="BQ11" i="5" s="1"/>
  <c r="K11" i="5"/>
  <c r="L11" i="5" s="1"/>
  <c r="M11" i="5" s="1"/>
  <c r="AA11" i="5"/>
  <c r="AB11" i="5" s="1"/>
  <c r="AC11" i="5" s="1"/>
  <c r="AY11" i="5"/>
  <c r="AZ11" i="5" s="1"/>
  <c r="BA11" i="5" s="1"/>
  <c r="AI11" i="5"/>
  <c r="AJ11" i="5" s="1"/>
  <c r="AK11" i="5" s="1"/>
  <c r="S11" i="5"/>
  <c r="T11" i="5" s="1"/>
  <c r="U11" i="5" s="1"/>
  <c r="AA10" i="5"/>
  <c r="AB10" i="5" s="1"/>
  <c r="AC10" i="5" s="1"/>
  <c r="C10" i="5"/>
  <c r="D10" i="5" s="1"/>
  <c r="E10" i="5" s="1"/>
  <c r="K10" i="5"/>
  <c r="L10" i="5" s="1"/>
  <c r="M10" i="5" s="1"/>
  <c r="S10" i="5"/>
  <c r="T10" i="5" s="1"/>
  <c r="U10" i="5" s="1"/>
  <c r="BG10" i="5"/>
  <c r="BH10" i="5" s="1"/>
  <c r="BI10" i="5" s="1"/>
  <c r="AI10" i="5"/>
  <c r="AJ10" i="5" s="1"/>
  <c r="AK10" i="5" s="1"/>
  <c r="BO10" i="5"/>
  <c r="BP10" i="5" s="1"/>
  <c r="BQ10" i="5" s="1"/>
  <c r="AY10" i="5"/>
  <c r="AZ10" i="5" s="1"/>
  <c r="BA10" i="5" s="1"/>
  <c r="AQ10" i="5"/>
  <c r="AR10" i="5" s="1"/>
  <c r="AS10" i="5" s="1"/>
  <c r="AA9" i="5"/>
  <c r="AB9" i="5" s="1"/>
  <c r="AC9" i="5" s="1"/>
  <c r="AY9" i="5"/>
  <c r="AZ9" i="5" s="1"/>
  <c r="C9" i="5"/>
  <c r="D9" i="5" s="1"/>
  <c r="BO9" i="5"/>
  <c r="BP9" i="5" s="1"/>
  <c r="BG9" i="5"/>
  <c r="BH9" i="5" s="1"/>
  <c r="AI9" i="5"/>
  <c r="AJ9" i="5" s="1"/>
  <c r="AQ9" i="5"/>
  <c r="AR9" i="5" s="1"/>
  <c r="S9" i="5"/>
  <c r="T9" i="5" s="1"/>
  <c r="K9" i="5"/>
  <c r="L9" i="5" s="1"/>
  <c r="S8" i="5"/>
  <c r="T8" i="5" s="1"/>
  <c r="AQ8" i="5"/>
  <c r="AR8" i="5" s="1"/>
  <c r="AI8" i="5"/>
  <c r="AJ8" i="5" s="1"/>
  <c r="C8" i="5"/>
  <c r="D8" i="5" s="1"/>
  <c r="AA8" i="5"/>
  <c r="AB8" i="5" s="1"/>
  <c r="BG8" i="5"/>
  <c r="BH8" i="5" s="1"/>
  <c r="AY8" i="5"/>
  <c r="AZ8" i="5" s="1"/>
  <c r="K8" i="5"/>
  <c r="L8" i="5" s="1"/>
  <c r="BO8" i="5"/>
  <c r="BP8" i="5" s="1"/>
  <c r="BO7" i="5"/>
  <c r="BP7" i="5" s="1"/>
  <c r="BQ7" i="5" s="1"/>
  <c r="BG7" i="5"/>
  <c r="BH7" i="5" s="1"/>
  <c r="BI7" i="5" s="1"/>
  <c r="AQ7" i="5"/>
  <c r="AR7" i="5" s="1"/>
  <c r="AS7" i="5" s="1"/>
  <c r="AY7" i="5"/>
  <c r="AZ7" i="5" s="1"/>
  <c r="BA7" i="5" s="1"/>
  <c r="C7" i="5"/>
  <c r="D7" i="5" s="1"/>
  <c r="E7" i="5" s="1"/>
  <c r="K7" i="5"/>
  <c r="L7" i="5" s="1"/>
  <c r="M7" i="5" s="1"/>
  <c r="S7" i="5"/>
  <c r="T7" i="5" s="1"/>
  <c r="U7" i="5" s="1"/>
  <c r="AA7" i="5"/>
  <c r="AB7" i="5" s="1"/>
  <c r="AC7" i="5" s="1"/>
  <c r="AI7" i="5"/>
  <c r="AJ7" i="5" s="1"/>
  <c r="AK7" i="5" s="1"/>
  <c r="BO14" i="5"/>
  <c r="BP14" i="5" s="1"/>
  <c r="BO32" i="5"/>
  <c r="BP32" i="5" s="1"/>
  <c r="BQ32" i="5" s="1"/>
  <c r="BO38" i="5"/>
  <c r="BP38" i="5" s="1"/>
  <c r="BG38" i="5"/>
  <c r="BH38" i="5" s="1"/>
  <c r="BG32" i="5"/>
  <c r="BH32" i="5" s="1"/>
  <c r="BI32" i="5" s="1"/>
  <c r="BG14" i="5"/>
  <c r="BH14" i="5" s="1"/>
  <c r="BI14" i="5" s="1"/>
  <c r="AY38" i="5"/>
  <c r="AZ38" i="5" s="1"/>
  <c r="AY32" i="5"/>
  <c r="AZ32" i="5" s="1"/>
  <c r="BA32" i="5" s="1"/>
  <c r="AY14" i="5"/>
  <c r="AZ14" i="5" s="1"/>
  <c r="BA14" i="5" s="1"/>
  <c r="AQ32" i="5"/>
  <c r="AR32" i="5" s="1"/>
  <c r="AS32" i="5" s="1"/>
  <c r="AQ38" i="5"/>
  <c r="AR38" i="5" s="1"/>
  <c r="AQ14" i="5"/>
  <c r="AR14" i="5" s="1"/>
  <c r="AS14" i="5" s="1"/>
  <c r="AI38" i="5"/>
  <c r="AJ38" i="5" s="1"/>
  <c r="AI14" i="5"/>
  <c r="AJ14" i="5" s="1"/>
  <c r="AK14" i="5" s="1"/>
  <c r="AI32" i="5"/>
  <c r="AJ32" i="5" s="1"/>
  <c r="AK32" i="5" s="1"/>
  <c r="AA38" i="5"/>
  <c r="AB38" i="5" s="1"/>
  <c r="AA32" i="5"/>
  <c r="AB32" i="5" s="1"/>
  <c r="AC32" i="5" s="1"/>
  <c r="S38" i="5"/>
  <c r="T38" i="5" s="1"/>
  <c r="S32" i="5"/>
  <c r="T32" i="5" s="1"/>
  <c r="U32" i="5" s="1"/>
  <c r="G41" i="4"/>
  <c r="L41" i="4"/>
  <c r="I41" i="4"/>
  <c r="K41" i="4"/>
  <c r="H41" i="4"/>
  <c r="E41" i="4"/>
  <c r="F41" i="4" s="1"/>
  <c r="N41" i="4"/>
  <c r="B43" i="5"/>
  <c r="P41" i="4"/>
  <c r="Q41" i="4"/>
  <c r="R41" i="4" s="1"/>
  <c r="O41" i="4"/>
  <c r="M41" i="4"/>
  <c r="J41" i="4"/>
  <c r="J40" i="4"/>
  <c r="N40" i="4"/>
  <c r="O40" i="4"/>
  <c r="K40" i="4"/>
  <c r="B42" i="5"/>
  <c r="M40" i="4"/>
  <c r="G40" i="4"/>
  <c r="I40" i="4"/>
  <c r="L40" i="4"/>
  <c r="H40" i="4"/>
  <c r="E40" i="4"/>
  <c r="F40" i="4" s="1"/>
  <c r="Q40" i="4"/>
  <c r="R40" i="4" s="1"/>
  <c r="S40" i="4" s="1"/>
  <c r="P40" i="4"/>
  <c r="P39" i="4"/>
  <c r="M39" i="4"/>
  <c r="G39" i="4"/>
  <c r="K39" i="4"/>
  <c r="O39" i="4"/>
  <c r="B41" i="5"/>
  <c r="Q39" i="4"/>
  <c r="R39" i="4" s="1"/>
  <c r="I39" i="4"/>
  <c r="N39" i="4"/>
  <c r="J39" i="4"/>
  <c r="L39" i="4"/>
  <c r="H39" i="4"/>
  <c r="E39" i="4"/>
  <c r="F39" i="4" s="1"/>
  <c r="O38" i="4"/>
  <c r="Q38" i="4"/>
  <c r="R38" i="4" s="1"/>
  <c r="B40" i="5"/>
  <c r="E38" i="4"/>
  <c r="F38" i="4" s="1"/>
  <c r="I38" i="4"/>
  <c r="M38" i="4"/>
  <c r="G38" i="4"/>
  <c r="N38" i="4"/>
  <c r="K38" i="4"/>
  <c r="P38" i="4"/>
  <c r="L38" i="4"/>
  <c r="J38" i="4"/>
  <c r="H38" i="4"/>
  <c r="P37" i="4"/>
  <c r="H37" i="4"/>
  <c r="K37" i="4"/>
  <c r="N37" i="4"/>
  <c r="I37" i="4"/>
  <c r="E37" i="4"/>
  <c r="F37" i="4" s="1"/>
  <c r="L37" i="4"/>
  <c r="J37" i="4"/>
  <c r="G37" i="4"/>
  <c r="Q37" i="4"/>
  <c r="R37" i="4" s="1"/>
  <c r="B39" i="5"/>
  <c r="O37" i="4"/>
  <c r="M37" i="4"/>
  <c r="H36" i="4"/>
  <c r="N36" i="4"/>
  <c r="I36" i="4"/>
  <c r="K36" i="4"/>
  <c r="G36" i="4"/>
  <c r="J36" i="4"/>
  <c r="B38" i="5"/>
  <c r="E36" i="4"/>
  <c r="F36" i="4" s="1"/>
  <c r="O36" i="4"/>
  <c r="Q36" i="4"/>
  <c r="R36" i="4" s="1"/>
  <c r="M36" i="4"/>
  <c r="P36" i="4"/>
  <c r="L36" i="4"/>
  <c r="M35" i="4"/>
  <c r="Q35" i="4"/>
  <c r="R35" i="4" s="1"/>
  <c r="D24" i="3"/>
  <c r="C24" i="3"/>
  <c r="P35" i="4"/>
  <c r="O35" i="4"/>
  <c r="K35" i="4"/>
  <c r="I35" i="4"/>
  <c r="E35" i="4"/>
  <c r="F35" i="4" s="1"/>
  <c r="B24" i="3"/>
  <c r="N35" i="4"/>
  <c r="L35" i="4"/>
  <c r="B37" i="5"/>
  <c r="J35" i="4"/>
  <c r="G35" i="4"/>
  <c r="H35" i="4"/>
  <c r="F34" i="4"/>
  <c r="R34" i="4"/>
  <c r="B36" i="5"/>
  <c r="G34" i="4"/>
  <c r="H34" i="4"/>
  <c r="I34" i="4"/>
  <c r="J34" i="4"/>
  <c r="K34" i="4"/>
  <c r="L34" i="4"/>
  <c r="M34" i="4"/>
  <c r="N34" i="4"/>
  <c r="O34" i="4"/>
  <c r="F33" i="4"/>
  <c r="I33" i="4"/>
  <c r="G33" i="4"/>
  <c r="H33" i="4"/>
  <c r="J33" i="4"/>
  <c r="K33" i="4"/>
  <c r="L33" i="4"/>
  <c r="M33" i="4"/>
  <c r="N33" i="4"/>
  <c r="O33" i="4"/>
  <c r="P33" i="4"/>
  <c r="Q33" i="4"/>
  <c r="R33" i="4" s="1"/>
  <c r="S33" i="4" s="1"/>
  <c r="B35" i="5"/>
  <c r="F32" i="4"/>
  <c r="J32" i="4"/>
  <c r="B34" i="5"/>
  <c r="Q32" i="4"/>
  <c r="R32" i="4" s="1"/>
  <c r="P32" i="4"/>
  <c r="O32" i="4"/>
  <c r="N32" i="4"/>
  <c r="M32" i="4"/>
  <c r="L32" i="4"/>
  <c r="K32" i="4"/>
  <c r="I32" i="4"/>
  <c r="H32" i="4"/>
  <c r="G32" i="4"/>
  <c r="F31" i="4"/>
  <c r="P31" i="4"/>
  <c r="B33" i="5"/>
  <c r="M31" i="4"/>
  <c r="L31" i="4"/>
  <c r="K31" i="4"/>
  <c r="J31" i="4"/>
  <c r="I31" i="4"/>
  <c r="N31" i="4"/>
  <c r="H31" i="4"/>
  <c r="G31" i="4"/>
  <c r="O31" i="4"/>
  <c r="Q31" i="4"/>
  <c r="R31" i="4" s="1"/>
  <c r="S31" i="4" s="1"/>
  <c r="F30" i="4"/>
  <c r="N30" i="4"/>
  <c r="P30" i="4"/>
  <c r="Q30" i="4"/>
  <c r="R30" i="4" s="1"/>
  <c r="B32" i="5"/>
  <c r="O30" i="4"/>
  <c r="G30" i="4"/>
  <c r="D26" i="3" s="1"/>
  <c r="I30" i="4"/>
  <c r="J30" i="4"/>
  <c r="K30" i="4"/>
  <c r="L30" i="4"/>
  <c r="M30" i="4"/>
  <c r="H30" i="4"/>
  <c r="F29" i="4"/>
  <c r="B31" i="5"/>
  <c r="G29" i="4"/>
  <c r="O29" i="4"/>
  <c r="M29" i="4"/>
  <c r="Q29" i="4"/>
  <c r="R29" i="4" s="1"/>
  <c r="P29" i="4"/>
  <c r="N29" i="4"/>
  <c r="L29" i="4"/>
  <c r="K29" i="4"/>
  <c r="J29" i="4"/>
  <c r="I29" i="4"/>
  <c r="H29" i="4"/>
  <c r="B30" i="5"/>
  <c r="P28" i="4"/>
  <c r="Q28" i="4"/>
  <c r="R28" i="4" s="1"/>
  <c r="O28" i="4"/>
  <c r="G28" i="4"/>
  <c r="H28" i="4"/>
  <c r="I28" i="4"/>
  <c r="J28" i="4"/>
  <c r="L28" i="4"/>
  <c r="N28" i="4"/>
  <c r="M28" i="4"/>
  <c r="K28" i="4"/>
  <c r="M27" i="4"/>
  <c r="N27" i="4"/>
  <c r="L27" i="4"/>
  <c r="Q27" i="4"/>
  <c r="R27" i="4" s="1"/>
  <c r="K27" i="4"/>
  <c r="J27" i="4"/>
  <c r="I27" i="4"/>
  <c r="H27" i="4"/>
  <c r="G27" i="4"/>
  <c r="O27" i="4"/>
  <c r="P27" i="4"/>
  <c r="B29" i="5"/>
  <c r="N26" i="4"/>
  <c r="B28" i="5"/>
  <c r="M26" i="4"/>
  <c r="L26" i="4"/>
  <c r="K26" i="4"/>
  <c r="J26" i="4"/>
  <c r="I26" i="4"/>
  <c r="H26" i="4"/>
  <c r="G26" i="4"/>
  <c r="O26" i="4"/>
  <c r="P26" i="4"/>
  <c r="Q26" i="4"/>
  <c r="R26" i="4" s="1"/>
  <c r="S26" i="4" s="1"/>
  <c r="N25" i="4"/>
  <c r="Q25" i="4"/>
  <c r="R25" i="4" s="1"/>
  <c r="P25" i="4"/>
  <c r="B27" i="5"/>
  <c r="G25" i="4"/>
  <c r="O25" i="4"/>
  <c r="I25" i="4"/>
  <c r="J25" i="4"/>
  <c r="K25" i="4"/>
  <c r="L25" i="4"/>
  <c r="M25" i="4"/>
  <c r="H25" i="4"/>
  <c r="B26" i="5"/>
  <c r="Q24" i="4"/>
  <c r="R24" i="4" s="1"/>
  <c r="P24" i="4"/>
  <c r="O24" i="4"/>
  <c r="N24" i="4"/>
  <c r="M24" i="4"/>
  <c r="L24" i="4"/>
  <c r="K24" i="4"/>
  <c r="J24" i="4"/>
  <c r="I24" i="4"/>
  <c r="H24" i="4"/>
  <c r="G24" i="4"/>
  <c r="O23" i="4"/>
  <c r="Q23" i="4"/>
  <c r="R23" i="4" s="1"/>
  <c r="N23" i="4"/>
  <c r="M23" i="4"/>
  <c r="L23" i="4"/>
  <c r="K23" i="4"/>
  <c r="P23" i="4"/>
  <c r="J23" i="4"/>
  <c r="I23" i="4"/>
  <c r="B25" i="5"/>
  <c r="H23" i="4"/>
  <c r="G23" i="4"/>
  <c r="N22" i="4"/>
  <c r="Q22" i="4"/>
  <c r="R22" i="4" s="1"/>
  <c r="P22" i="4"/>
  <c r="O22" i="4"/>
  <c r="G22" i="4"/>
  <c r="H22" i="4"/>
  <c r="J22" i="4"/>
  <c r="K22" i="4"/>
  <c r="L22" i="4"/>
  <c r="M22" i="4"/>
  <c r="B24" i="5"/>
  <c r="I22" i="4"/>
  <c r="H21" i="4"/>
  <c r="J21" i="4"/>
  <c r="Q21" i="4"/>
  <c r="R21" i="4" s="1"/>
  <c r="G21" i="4"/>
  <c r="O21" i="4"/>
  <c r="N21" i="4"/>
  <c r="M21" i="4"/>
  <c r="L21" i="4"/>
  <c r="K21" i="4"/>
  <c r="P21" i="4"/>
  <c r="I21" i="4"/>
  <c r="B23" i="5"/>
  <c r="L20" i="4"/>
  <c r="K20" i="4"/>
  <c r="P20" i="4"/>
  <c r="M20" i="4"/>
  <c r="J20" i="4"/>
  <c r="B22" i="5"/>
  <c r="H20" i="4"/>
  <c r="Q20" i="4"/>
  <c r="R20" i="4" s="1"/>
  <c r="O20" i="4"/>
  <c r="N20" i="4"/>
  <c r="I20" i="4"/>
  <c r="J19" i="4"/>
  <c r="K19" i="4"/>
  <c r="P19" i="4"/>
  <c r="I19" i="4"/>
  <c r="B21" i="5"/>
  <c r="Q19" i="4"/>
  <c r="R19" i="4" s="1"/>
  <c r="O19" i="4"/>
  <c r="N19" i="4"/>
  <c r="H19" i="4"/>
  <c r="M19" i="4"/>
  <c r="L19" i="4"/>
  <c r="H18" i="4"/>
  <c r="B20" i="5"/>
  <c r="I18" i="4"/>
  <c r="J18" i="4"/>
  <c r="K18" i="4"/>
  <c r="M18" i="4"/>
  <c r="N18" i="4"/>
  <c r="O18" i="4"/>
  <c r="P18" i="4"/>
  <c r="Q18" i="4"/>
  <c r="R18" i="4" s="1"/>
  <c r="L18" i="4"/>
  <c r="G18" i="4"/>
  <c r="L17" i="4"/>
  <c r="G17" i="4"/>
  <c r="O17" i="4"/>
  <c r="H17" i="4"/>
  <c r="Q17" i="4"/>
  <c r="R17" i="4" s="1"/>
  <c r="P17" i="4"/>
  <c r="N17" i="4"/>
  <c r="M17" i="4"/>
  <c r="K17" i="4"/>
  <c r="J17" i="4"/>
  <c r="B19" i="5"/>
  <c r="I17" i="4"/>
  <c r="G16" i="4"/>
  <c r="N16" i="4"/>
  <c r="O16" i="4"/>
  <c r="Q16" i="4"/>
  <c r="R16" i="4" s="1"/>
  <c r="L16" i="4"/>
  <c r="J16" i="4"/>
  <c r="B18" i="5"/>
  <c r="I16" i="4"/>
  <c r="H16" i="4"/>
  <c r="K16" i="4"/>
  <c r="M16" i="4"/>
  <c r="P16" i="4"/>
  <c r="K15" i="4"/>
  <c r="B17" i="5"/>
  <c r="H15" i="4"/>
  <c r="L15" i="4"/>
  <c r="P15" i="4"/>
  <c r="Q15" i="4"/>
  <c r="R15" i="4" s="1"/>
  <c r="O15" i="4"/>
  <c r="N15" i="4"/>
  <c r="M15" i="4"/>
  <c r="J15" i="4"/>
  <c r="I15" i="4"/>
  <c r="G15" i="4"/>
  <c r="P14" i="4"/>
  <c r="L14" i="4"/>
  <c r="I14" i="4"/>
  <c r="Q14" i="4"/>
  <c r="R14" i="4" s="1"/>
  <c r="O14" i="4"/>
  <c r="N14" i="4"/>
  <c r="M14" i="4"/>
  <c r="K14" i="4"/>
  <c r="B16" i="5"/>
  <c r="J14" i="4"/>
  <c r="H14" i="4"/>
  <c r="G14" i="4"/>
  <c r="P13" i="4"/>
  <c r="Q13" i="4"/>
  <c r="R13" i="4" s="1"/>
  <c r="N13" i="4"/>
  <c r="M13" i="4"/>
  <c r="L13" i="4"/>
  <c r="K13" i="4"/>
  <c r="J13" i="4"/>
  <c r="I13" i="4"/>
  <c r="H13" i="4"/>
  <c r="O13" i="4"/>
  <c r="G13" i="4"/>
  <c r="N12" i="4"/>
  <c r="P12" i="4"/>
  <c r="M12" i="4"/>
  <c r="L12" i="4"/>
  <c r="K12" i="4"/>
  <c r="J12" i="4"/>
  <c r="I12" i="4"/>
  <c r="H12" i="4"/>
  <c r="G12" i="4"/>
  <c r="Q12" i="4"/>
  <c r="R12" i="4" s="1"/>
  <c r="B14" i="5"/>
  <c r="O12" i="4"/>
  <c r="Q11" i="4"/>
  <c r="R11" i="4" s="1"/>
  <c r="J11" i="4"/>
  <c r="B13" i="5"/>
  <c r="O11" i="4"/>
  <c r="N11" i="4"/>
  <c r="M11" i="4"/>
  <c r="L11" i="4"/>
  <c r="K11" i="4"/>
  <c r="P11" i="4"/>
  <c r="G11" i="4"/>
  <c r="H11" i="4"/>
  <c r="I11" i="4"/>
  <c r="O10" i="4"/>
  <c r="Q10" i="4"/>
  <c r="R10" i="4" s="1"/>
  <c r="I10" i="4"/>
  <c r="H10" i="4"/>
  <c r="G10" i="4"/>
  <c r="J10" i="4"/>
  <c r="K10" i="4"/>
  <c r="L10" i="4"/>
  <c r="P10" i="4"/>
  <c r="N10" i="4"/>
  <c r="M10" i="4"/>
  <c r="B12" i="5"/>
  <c r="P9" i="4"/>
  <c r="G9" i="4"/>
  <c r="H9" i="4"/>
  <c r="J9" i="4"/>
  <c r="K9" i="4"/>
  <c r="L9" i="4"/>
  <c r="M9" i="4"/>
  <c r="N9" i="4"/>
  <c r="O9" i="4"/>
  <c r="I9" i="4"/>
  <c r="Q9" i="4"/>
  <c r="R9" i="4" s="1"/>
  <c r="S9" i="4" s="1"/>
  <c r="L8" i="4"/>
  <c r="J8" i="4"/>
  <c r="I8" i="4"/>
  <c r="M8" i="4"/>
  <c r="P8" i="4"/>
  <c r="H8" i="4"/>
  <c r="K8" i="4"/>
  <c r="G8" i="4"/>
  <c r="N8" i="4"/>
  <c r="Q8" i="4"/>
  <c r="R8" i="4" s="1"/>
  <c r="O8" i="4"/>
  <c r="P7" i="4"/>
  <c r="J7" i="4"/>
  <c r="L7" i="4"/>
  <c r="K7" i="4"/>
  <c r="O7" i="4"/>
  <c r="I7" i="4"/>
  <c r="M7" i="4"/>
  <c r="Q7" i="4"/>
  <c r="R7" i="4" s="1"/>
  <c r="H7" i="4"/>
  <c r="N7" i="4"/>
  <c r="K6" i="4"/>
  <c r="J6" i="4"/>
  <c r="M6" i="4"/>
  <c r="O6" i="4"/>
  <c r="H6" i="4"/>
  <c r="L6" i="4"/>
  <c r="Q6" i="4"/>
  <c r="R6" i="4" s="1"/>
  <c r="P6" i="4"/>
  <c r="N6" i="4"/>
  <c r="I6" i="4"/>
  <c r="F5" i="4"/>
  <c r="R5" i="4"/>
  <c r="S5" i="4" s="1"/>
  <c r="B7" i="3"/>
  <c r="Y5" i="4"/>
  <c r="X5" i="4"/>
  <c r="B59" i="2"/>
  <c r="B8" i="3" s="1"/>
  <c r="B5" i="3"/>
  <c r="E29" i="4"/>
  <c r="E13" i="4"/>
  <c r="F13" i="4" s="1"/>
  <c r="B13" i="3"/>
  <c r="B14" i="3"/>
  <c r="E28" i="4"/>
  <c r="F28" i="4" s="1"/>
  <c r="E30" i="4"/>
  <c r="E31" i="4"/>
  <c r="E32" i="4"/>
  <c r="E33" i="4"/>
  <c r="E16" i="4"/>
  <c r="F16" i="4" s="1"/>
  <c r="E17" i="4"/>
  <c r="F17" i="4" s="1"/>
  <c r="E9" i="4"/>
  <c r="F9" i="4" s="1"/>
  <c r="E19" i="4"/>
  <c r="F19" i="4" s="1"/>
  <c r="E20" i="4"/>
  <c r="F20" i="4" s="1"/>
  <c r="E22" i="4"/>
  <c r="F22" i="4" s="1"/>
  <c r="E23" i="4"/>
  <c r="F23" i="4" s="1"/>
  <c r="E34" i="4"/>
  <c r="E21" i="4"/>
  <c r="F21" i="4" s="1"/>
  <c r="E18" i="4"/>
  <c r="F18" i="4" s="1"/>
  <c r="E7" i="4"/>
  <c r="F7" i="4" s="1"/>
  <c r="E15" i="4"/>
  <c r="F15" i="4" s="1"/>
  <c r="E14" i="4"/>
  <c r="F14" i="4" s="1"/>
  <c r="E8" i="4"/>
  <c r="F8" i="4" s="1"/>
  <c r="E6" i="4"/>
  <c r="F6" i="4" s="1"/>
  <c r="E24" i="4"/>
  <c r="F24" i="4" s="1"/>
  <c r="E25" i="4"/>
  <c r="F25" i="4" s="1"/>
  <c r="E26" i="4"/>
  <c r="F26" i="4" s="1"/>
  <c r="E27" i="4"/>
  <c r="F27" i="4" s="1"/>
  <c r="E12" i="4"/>
  <c r="F12" i="4" s="1"/>
  <c r="E11" i="4"/>
  <c r="F11" i="4" s="1"/>
  <c r="E10" i="4"/>
  <c r="F10" i="4" s="1"/>
  <c r="E42" i="5" l="1"/>
  <c r="BQ42" i="5"/>
  <c r="BI42" i="5"/>
  <c r="BA42" i="5"/>
  <c r="AS42" i="5"/>
  <c r="AK42" i="5"/>
  <c r="AC42" i="5"/>
  <c r="U42" i="5"/>
  <c r="M42" i="5"/>
  <c r="E41" i="5"/>
  <c r="BQ41" i="5"/>
  <c r="BI41" i="5"/>
  <c r="BA41" i="5"/>
  <c r="AS41" i="5"/>
  <c r="AK41" i="5"/>
  <c r="AC41" i="5"/>
  <c r="U41" i="5"/>
  <c r="M41" i="5"/>
  <c r="M40" i="5"/>
  <c r="E40" i="5"/>
  <c r="BQ40" i="5"/>
  <c r="BI40" i="5"/>
  <c r="BA40" i="5"/>
  <c r="AS40" i="5"/>
  <c r="AK40" i="5"/>
  <c r="AC40" i="5"/>
  <c r="AC39" i="5"/>
  <c r="S38" i="4"/>
  <c r="S27" i="4"/>
  <c r="S25" i="4"/>
  <c r="N27" i="5" s="1"/>
  <c r="S24" i="4"/>
  <c r="S23" i="4"/>
  <c r="E33" i="5"/>
  <c r="E32" i="5"/>
  <c r="M32" i="5"/>
  <c r="AS31" i="5"/>
  <c r="AU32" i="5" s="1"/>
  <c r="BI31" i="5"/>
  <c r="BK32" i="5" s="1"/>
  <c r="BQ31" i="5"/>
  <c r="BS32" i="5" s="1"/>
  <c r="BA30" i="5"/>
  <c r="AS30" i="5"/>
  <c r="BQ30" i="5"/>
  <c r="BI30" i="5"/>
  <c r="E30" i="5"/>
  <c r="E29" i="5"/>
  <c r="AS29" i="5"/>
  <c r="AK29" i="5"/>
  <c r="AC29" i="5"/>
  <c r="BA29" i="5"/>
  <c r="U29" i="5"/>
  <c r="M29" i="5"/>
  <c r="BI38" i="5"/>
  <c r="M23" i="5"/>
  <c r="U23" i="5"/>
  <c r="AC23" i="5"/>
  <c r="BI23" i="5"/>
  <c r="AK23" i="5"/>
  <c r="AS23" i="5"/>
  <c r="AS22" i="5"/>
  <c r="AK22" i="5"/>
  <c r="AC22" i="5"/>
  <c r="U22" i="5"/>
  <c r="M22" i="5"/>
  <c r="BA22" i="5"/>
  <c r="BI22" i="5"/>
  <c r="BQ22" i="5"/>
  <c r="E22" i="5"/>
  <c r="U21" i="5"/>
  <c r="AC21" i="5"/>
  <c r="M21" i="5"/>
  <c r="E21" i="5"/>
  <c r="AK21" i="5"/>
  <c r="AS21" i="5"/>
  <c r="BA21" i="5"/>
  <c r="BI21" i="5"/>
  <c r="BQ21" i="5"/>
  <c r="U19" i="5"/>
  <c r="AC19" i="5"/>
  <c r="BA19" i="5"/>
  <c r="M19" i="5"/>
  <c r="AK19" i="5"/>
  <c r="BQ19" i="5"/>
  <c r="BI19" i="5"/>
  <c r="AS19" i="5"/>
  <c r="E19" i="5"/>
  <c r="BA18" i="5"/>
  <c r="AS18" i="5"/>
  <c r="U18" i="5"/>
  <c r="E18" i="5"/>
  <c r="AK18" i="5"/>
  <c r="AC18" i="5"/>
  <c r="BQ18" i="5"/>
  <c r="M18" i="5"/>
  <c r="BI18" i="5"/>
  <c r="AC17" i="5"/>
  <c r="BI17" i="5"/>
  <c r="M17" i="5"/>
  <c r="BA17" i="5"/>
  <c r="AS17" i="5"/>
  <c r="AK17" i="5"/>
  <c r="BQ17" i="5"/>
  <c r="U17" i="5"/>
  <c r="E17" i="5"/>
  <c r="BA16" i="5"/>
  <c r="BQ16" i="5"/>
  <c r="M16" i="5"/>
  <c r="U16" i="5"/>
  <c r="AK16" i="5"/>
  <c r="AS16" i="5"/>
  <c r="BI16" i="5"/>
  <c r="E16" i="5"/>
  <c r="AC16" i="5"/>
  <c r="AS15" i="5"/>
  <c r="BQ15" i="5"/>
  <c r="AS13" i="5"/>
  <c r="AC13" i="5"/>
  <c r="AK13" i="5"/>
  <c r="BI13" i="5"/>
  <c r="U13" i="5"/>
  <c r="M13" i="5"/>
  <c r="E13" i="5"/>
  <c r="BQ13" i="5"/>
  <c r="BA13" i="5"/>
  <c r="M12" i="5"/>
  <c r="U12" i="5"/>
  <c r="AC12" i="5"/>
  <c r="E12" i="5"/>
  <c r="AK12" i="5"/>
  <c r="BQ12" i="5"/>
  <c r="AS38" i="5"/>
  <c r="AC38" i="5"/>
  <c r="S22" i="4"/>
  <c r="S21" i="4"/>
  <c r="S20" i="4"/>
  <c r="S19" i="4"/>
  <c r="S18" i="4"/>
  <c r="S17" i="4"/>
  <c r="S16" i="4"/>
  <c r="S15" i="4"/>
  <c r="S14" i="4"/>
  <c r="S13" i="4"/>
  <c r="S12" i="4"/>
  <c r="S11" i="4"/>
  <c r="S10" i="4"/>
  <c r="S8" i="4"/>
  <c r="S7" i="4"/>
  <c r="AD9" i="5" s="1"/>
  <c r="S6" i="4"/>
  <c r="U40" i="5"/>
  <c r="M39" i="5"/>
  <c r="E39" i="5"/>
  <c r="BQ39" i="5"/>
  <c r="BI39" i="5"/>
  <c r="BA39" i="5"/>
  <c r="AS39" i="5"/>
  <c r="AK39" i="5"/>
  <c r="U39" i="5"/>
  <c r="BQ38" i="5"/>
  <c r="BA38" i="5"/>
  <c r="AK38" i="5"/>
  <c r="U38" i="5"/>
  <c r="S39" i="4"/>
  <c r="S37" i="4"/>
  <c r="S36" i="4"/>
  <c r="S35" i="4"/>
  <c r="S32" i="4"/>
  <c r="S30" i="4"/>
  <c r="S29" i="4"/>
  <c r="S28" i="4"/>
  <c r="F42" i="5"/>
  <c r="G42" i="5"/>
  <c r="BR42" i="5"/>
  <c r="BS42" i="5"/>
  <c r="BJ42" i="5"/>
  <c r="BK42" i="5"/>
  <c r="BB42" i="5"/>
  <c r="BC42" i="5"/>
  <c r="AT42" i="5"/>
  <c r="AU42" i="5"/>
  <c r="AL42" i="5"/>
  <c r="AM42" i="5"/>
  <c r="AD42" i="5"/>
  <c r="AE42" i="5"/>
  <c r="V42" i="5"/>
  <c r="W42" i="5"/>
  <c r="N42" i="5"/>
  <c r="O42" i="5"/>
  <c r="F41" i="5"/>
  <c r="G41" i="5"/>
  <c r="BR41" i="5"/>
  <c r="BS41" i="5"/>
  <c r="BJ41" i="5"/>
  <c r="BK41" i="5"/>
  <c r="BB41" i="5"/>
  <c r="BC41" i="5"/>
  <c r="AT41" i="5"/>
  <c r="AU41" i="5"/>
  <c r="AL41" i="5"/>
  <c r="AM41" i="5"/>
  <c r="AD41" i="5"/>
  <c r="AE41" i="5"/>
  <c r="V41" i="5"/>
  <c r="W41" i="5"/>
  <c r="N41" i="5"/>
  <c r="O41" i="5"/>
  <c r="N40" i="5"/>
  <c r="F40" i="5"/>
  <c r="BR40" i="5"/>
  <c r="BS40" i="5"/>
  <c r="BJ40" i="5"/>
  <c r="BK40" i="5"/>
  <c r="BB40" i="5"/>
  <c r="BC40" i="5"/>
  <c r="AT40" i="5"/>
  <c r="AU40" i="5"/>
  <c r="AL40" i="5"/>
  <c r="AM40" i="5"/>
  <c r="AD40" i="5"/>
  <c r="AE40" i="5"/>
  <c r="V40" i="5"/>
  <c r="W40" i="5"/>
  <c r="N39" i="5"/>
  <c r="F39" i="5"/>
  <c r="BR39" i="5"/>
  <c r="BJ39" i="5"/>
  <c r="BB39" i="5"/>
  <c r="AT39" i="5"/>
  <c r="AL39" i="5"/>
  <c r="AD39" i="5"/>
  <c r="V39" i="5"/>
  <c r="F33" i="5"/>
  <c r="F32" i="5"/>
  <c r="N32" i="5"/>
  <c r="AT31" i="5"/>
  <c r="AU31" i="5"/>
  <c r="BJ31" i="5"/>
  <c r="BK31" i="5"/>
  <c r="BR31" i="5"/>
  <c r="BS31" i="5"/>
  <c r="BB30" i="5"/>
  <c r="BC30" i="5"/>
  <c r="AT30" i="5"/>
  <c r="AU30" i="5"/>
  <c r="BR30" i="5"/>
  <c r="BS30" i="5"/>
  <c r="BJ30" i="5"/>
  <c r="BK30" i="5"/>
  <c r="F30" i="5"/>
  <c r="G30" i="5"/>
  <c r="F29" i="5"/>
  <c r="G29" i="5"/>
  <c r="AT29" i="5"/>
  <c r="AU29" i="5"/>
  <c r="AL29" i="5"/>
  <c r="AM29" i="5"/>
  <c r="AD29" i="5"/>
  <c r="AE29" i="5"/>
  <c r="BB29" i="5"/>
  <c r="BC29" i="5"/>
  <c r="V29" i="5"/>
  <c r="W29" i="5"/>
  <c r="N29" i="5"/>
  <c r="O29" i="5"/>
  <c r="BJ29" i="5"/>
  <c r="BK29" i="5"/>
  <c r="BR29" i="5"/>
  <c r="BS29" i="5"/>
  <c r="F28" i="5"/>
  <c r="G28" i="5"/>
  <c r="BR28" i="5"/>
  <c r="BS28" i="5"/>
  <c r="BJ28" i="5"/>
  <c r="BK28" i="5"/>
  <c r="BB28" i="5"/>
  <c r="BC28" i="5"/>
  <c r="AT28" i="5"/>
  <c r="AU28" i="5"/>
  <c r="AL28" i="5"/>
  <c r="AM28" i="5"/>
  <c r="AD28" i="5"/>
  <c r="AE28" i="5"/>
  <c r="V28" i="5"/>
  <c r="W28" i="5"/>
  <c r="N28" i="5"/>
  <c r="O28" i="5"/>
  <c r="AT27" i="5"/>
  <c r="AU27" i="5"/>
  <c r="BB27" i="5"/>
  <c r="BC27" i="5"/>
  <c r="BJ27" i="5"/>
  <c r="BK27" i="5"/>
  <c r="BR27" i="5"/>
  <c r="BS27" i="5"/>
  <c r="F27" i="5"/>
  <c r="G27" i="5"/>
  <c r="AL27" i="5"/>
  <c r="AM27" i="5"/>
  <c r="AD27" i="5"/>
  <c r="AE27" i="5"/>
  <c r="V27" i="5"/>
  <c r="W27" i="5"/>
  <c r="O27" i="5"/>
  <c r="BC26" i="5"/>
  <c r="AU26" i="5"/>
  <c r="AM26" i="5"/>
  <c r="AE26" i="5"/>
  <c r="W26" i="5"/>
  <c r="O26" i="5"/>
  <c r="G26" i="5"/>
  <c r="BK26" i="5"/>
  <c r="BS26" i="5"/>
  <c r="G25" i="5"/>
  <c r="BC25" i="5"/>
  <c r="BS25" i="5"/>
  <c r="BK12" i="5"/>
  <c r="BC12" i="5"/>
  <c r="AU12" i="5"/>
  <c r="BJ11" i="5"/>
  <c r="F11" i="5"/>
  <c r="AT11" i="5"/>
  <c r="BR11" i="5"/>
  <c r="N11" i="5"/>
  <c r="AD11" i="5"/>
  <c r="AE11" i="5"/>
  <c r="BB11" i="5"/>
  <c r="AL11" i="5"/>
  <c r="V11" i="5"/>
  <c r="BR7" i="5"/>
  <c r="BS7" i="5"/>
  <c r="BT7" i="5" s="1"/>
  <c r="BJ7" i="5"/>
  <c r="BK7" i="5"/>
  <c r="BL7" i="5" s="1"/>
  <c r="AU7" i="5"/>
  <c r="AV7" i="5" s="1"/>
  <c r="AT7" i="5"/>
  <c r="BC7" i="5"/>
  <c r="BD7" i="5" s="1"/>
  <c r="BB7" i="5"/>
  <c r="G7" i="5"/>
  <c r="H7" i="5" s="1"/>
  <c r="F7" i="5"/>
  <c r="N7" i="5"/>
  <c r="O7" i="5"/>
  <c r="P7" i="5" s="1"/>
  <c r="V7" i="5"/>
  <c r="W7" i="5"/>
  <c r="X7" i="5" s="1"/>
  <c r="AE7" i="5"/>
  <c r="AF7" i="5" s="1"/>
  <c r="AD7" i="5"/>
  <c r="AM7" i="5"/>
  <c r="AN7" i="5" s="1"/>
  <c r="AL7" i="5"/>
  <c r="V41" i="4"/>
  <c r="AJ41" i="4"/>
  <c r="AA41" i="4"/>
  <c r="T40" i="4"/>
  <c r="AJ40" i="4"/>
  <c r="V40" i="4"/>
  <c r="AA40" i="4"/>
  <c r="AK40" i="4"/>
  <c r="W40" i="4"/>
  <c r="AJ39" i="4"/>
  <c r="AA39" i="4"/>
  <c r="V39" i="4"/>
  <c r="AJ38" i="4"/>
  <c r="V38" i="4"/>
  <c r="AA38" i="4"/>
  <c r="V37" i="4"/>
  <c r="AA37" i="4"/>
  <c r="AJ37" i="4"/>
  <c r="AA36" i="4"/>
  <c r="V36" i="4"/>
  <c r="AJ36" i="4"/>
  <c r="E38" i="5"/>
  <c r="M38" i="5"/>
  <c r="AA35" i="4"/>
  <c r="V35" i="4"/>
  <c r="AJ35" i="4"/>
  <c r="AJ34" i="4"/>
  <c r="AA34" i="4"/>
  <c r="V34" i="4"/>
  <c r="T33" i="4"/>
  <c r="U33" i="4"/>
  <c r="V33" i="4"/>
  <c r="AA33" i="4"/>
  <c r="AJ33" i="4"/>
  <c r="W33" i="4"/>
  <c r="AK33" i="4"/>
  <c r="V32" i="4"/>
  <c r="AA32" i="4"/>
  <c r="AJ32" i="4"/>
  <c r="T31" i="4"/>
  <c r="U31" i="4"/>
  <c r="V31" i="4"/>
  <c r="AA31" i="4"/>
  <c r="AJ31" i="4"/>
  <c r="W31" i="4"/>
  <c r="AK31" i="4"/>
  <c r="T30" i="4"/>
  <c r="U30" i="4"/>
  <c r="V30" i="4"/>
  <c r="AA30" i="4"/>
  <c r="AJ30" i="4"/>
  <c r="D25" i="3"/>
  <c r="W30" i="4"/>
  <c r="AK30" i="4"/>
  <c r="T29" i="4"/>
  <c r="U29" i="4"/>
  <c r="V29" i="4"/>
  <c r="AA29" i="4"/>
  <c r="AJ29" i="4"/>
  <c r="W29" i="4"/>
  <c r="AK29" i="4"/>
  <c r="T28" i="4"/>
  <c r="U28" i="4"/>
  <c r="V28" i="4"/>
  <c r="AA28" i="4"/>
  <c r="AJ28" i="4"/>
  <c r="W28" i="4"/>
  <c r="AK28" i="4"/>
  <c r="T27" i="4"/>
  <c r="U27" i="4"/>
  <c r="V27" i="4"/>
  <c r="AA27" i="4"/>
  <c r="AJ27" i="4"/>
  <c r="W27" i="4"/>
  <c r="AK27" i="4"/>
  <c r="T26" i="4"/>
  <c r="U26" i="4"/>
  <c r="V26" i="4"/>
  <c r="AA26" i="4"/>
  <c r="AJ26" i="4"/>
  <c r="W26" i="4"/>
  <c r="AK26" i="4"/>
  <c r="T25" i="4"/>
  <c r="U25" i="4" s="1"/>
  <c r="V25" i="4"/>
  <c r="AA25" i="4"/>
  <c r="AJ25" i="4"/>
  <c r="W25" i="4"/>
  <c r="AK25" i="4"/>
  <c r="T24" i="4"/>
  <c r="U24" i="4" s="1"/>
  <c r="V24" i="4"/>
  <c r="AA24" i="4"/>
  <c r="AJ24" i="4"/>
  <c r="W24" i="4"/>
  <c r="AK24" i="4"/>
  <c r="W23" i="4"/>
  <c r="AK23" i="4"/>
  <c r="T23" i="4"/>
  <c r="U23" i="4"/>
  <c r="V23" i="4"/>
  <c r="Z23" i="4" s="1"/>
  <c r="AA23" i="4"/>
  <c r="AJ23" i="4"/>
  <c r="T22" i="4"/>
  <c r="U22" i="4"/>
  <c r="V22" i="4"/>
  <c r="AA22" i="4"/>
  <c r="AJ22" i="4"/>
  <c r="W22" i="4"/>
  <c r="AK22" i="4"/>
  <c r="W21" i="4"/>
  <c r="AK21" i="4"/>
  <c r="T21" i="4"/>
  <c r="U21" i="4"/>
  <c r="V21" i="4"/>
  <c r="Z21" i="4" s="1"/>
  <c r="AA21" i="4"/>
  <c r="AJ21" i="4"/>
  <c r="T20" i="4"/>
  <c r="U20" i="4"/>
  <c r="V20" i="4"/>
  <c r="AA20" i="4"/>
  <c r="AJ20" i="4"/>
  <c r="W20" i="4"/>
  <c r="AK20" i="4"/>
  <c r="T19" i="4"/>
  <c r="U19" i="4"/>
  <c r="V19" i="4"/>
  <c r="AA19" i="4"/>
  <c r="AJ19" i="4"/>
  <c r="AK19" i="4"/>
  <c r="W19" i="4"/>
  <c r="T18" i="4"/>
  <c r="U18" i="4"/>
  <c r="V18" i="4"/>
  <c r="AA18" i="4"/>
  <c r="AJ18" i="4"/>
  <c r="C25" i="3"/>
  <c r="W18" i="4"/>
  <c r="AK18" i="4"/>
  <c r="C27" i="3"/>
  <c r="T17" i="4"/>
  <c r="U17" i="4"/>
  <c r="V17" i="4"/>
  <c r="AA17" i="4"/>
  <c r="AJ17" i="4"/>
  <c r="W17" i="4"/>
  <c r="AK17" i="4"/>
  <c r="T16" i="4"/>
  <c r="U16" i="4"/>
  <c r="AA16" i="4"/>
  <c r="AJ16" i="4"/>
  <c r="V16" i="4"/>
  <c r="W16" i="4"/>
  <c r="AK16" i="4"/>
  <c r="T15" i="4"/>
  <c r="AA15" i="4"/>
  <c r="U15" i="4"/>
  <c r="V15" i="4"/>
  <c r="AJ15" i="4"/>
  <c r="W15" i="4"/>
  <c r="AK15" i="4"/>
  <c r="T14" i="4"/>
  <c r="U14" i="4"/>
  <c r="V14" i="4"/>
  <c r="AA14" i="4"/>
  <c r="AJ14" i="4"/>
  <c r="W14" i="4"/>
  <c r="AK14" i="4"/>
  <c r="T13" i="4"/>
  <c r="U13" i="4"/>
  <c r="V13" i="4"/>
  <c r="AA13" i="4"/>
  <c r="AJ13" i="4"/>
  <c r="W13" i="4"/>
  <c r="AK13" i="4"/>
  <c r="T12" i="4"/>
  <c r="U12" i="4"/>
  <c r="V12" i="4"/>
  <c r="AA12" i="4"/>
  <c r="AJ12" i="4"/>
  <c r="W12" i="4"/>
  <c r="AK12" i="4"/>
  <c r="T11" i="4"/>
  <c r="U11" i="4"/>
  <c r="V11" i="4"/>
  <c r="AA11" i="4"/>
  <c r="AJ11" i="4"/>
  <c r="W11" i="4"/>
  <c r="AK11" i="4"/>
  <c r="T10" i="4"/>
  <c r="U10" i="4"/>
  <c r="V10" i="4"/>
  <c r="AA10" i="4"/>
  <c r="AJ10" i="4"/>
  <c r="W10" i="4"/>
  <c r="AK10" i="4"/>
  <c r="W9" i="4"/>
  <c r="AK9" i="4"/>
  <c r="T9" i="4"/>
  <c r="U9" i="4"/>
  <c r="V9" i="4"/>
  <c r="Z9" i="4" s="1"/>
  <c r="AA9" i="4"/>
  <c r="AJ9" i="4"/>
  <c r="V8" i="4"/>
  <c r="T8" i="4"/>
  <c r="U8" i="4"/>
  <c r="AA8" i="4"/>
  <c r="AJ8" i="4"/>
  <c r="AK8" i="4"/>
  <c r="W8" i="4"/>
  <c r="AA7" i="4"/>
  <c r="AJ7" i="4"/>
  <c r="T7" i="4"/>
  <c r="U7" i="4" s="1"/>
  <c r="V7" i="4"/>
  <c r="AK7" i="4"/>
  <c r="W7" i="4"/>
  <c r="B25" i="3"/>
  <c r="T6" i="4"/>
  <c r="U6" i="4"/>
  <c r="V6" i="4"/>
  <c r="AJ6" i="4"/>
  <c r="AA6" i="4"/>
  <c r="B27" i="3"/>
  <c r="W6" i="4"/>
  <c r="AK6" i="4"/>
  <c r="V5" i="4"/>
  <c r="T5" i="4"/>
  <c r="U5" i="4"/>
  <c r="AA5" i="4"/>
  <c r="AB5" i="4" s="1"/>
  <c r="AJ5" i="4"/>
  <c r="W5" i="4"/>
  <c r="AK5" i="4"/>
  <c r="BQ43" i="5"/>
  <c r="BI43" i="5"/>
  <c r="BA43" i="5"/>
  <c r="AS43" i="5"/>
  <c r="AK43" i="5"/>
  <c r="AC43" i="5"/>
  <c r="U43" i="5"/>
  <c r="M43" i="5"/>
  <c r="E43" i="5"/>
  <c r="E37" i="5"/>
  <c r="BA37" i="5"/>
  <c r="BC39" i="5" s="1"/>
  <c r="AS37" i="5"/>
  <c r="AU39" i="5" s="1"/>
  <c r="AK37" i="5"/>
  <c r="AM39" i="5" s="1"/>
  <c r="AC37" i="5"/>
  <c r="AE39" i="5" s="1"/>
  <c r="U37" i="5"/>
  <c r="W39" i="5" s="1"/>
  <c r="M37" i="5"/>
  <c r="E36" i="5"/>
  <c r="M36" i="5"/>
  <c r="U36" i="5"/>
  <c r="AC36" i="5"/>
  <c r="AK36" i="5"/>
  <c r="AS36" i="5"/>
  <c r="BA36" i="5"/>
  <c r="BI36" i="5"/>
  <c r="BQ36" i="5"/>
  <c r="AS35" i="5"/>
  <c r="BQ35" i="5"/>
  <c r="BI35" i="5"/>
  <c r="BA35" i="5"/>
  <c r="E35" i="5"/>
  <c r="AK35" i="5"/>
  <c r="AC35" i="5"/>
  <c r="U35" i="5"/>
  <c r="M35" i="5"/>
  <c r="BQ34" i="5"/>
  <c r="E34" i="5"/>
  <c r="M34" i="5"/>
  <c r="U34" i="5"/>
  <c r="AC34" i="5"/>
  <c r="AK34" i="5"/>
  <c r="AS34" i="5"/>
  <c r="BA34" i="5"/>
  <c r="BI34" i="5"/>
  <c r="M33" i="5"/>
  <c r="U33" i="5"/>
  <c r="AC33" i="5"/>
  <c r="AS33" i="5"/>
  <c r="AK33" i="5"/>
  <c r="BQ33" i="5"/>
  <c r="BI33" i="5"/>
  <c r="BA33" i="5"/>
  <c r="BA31" i="5"/>
  <c r="BC32" i="5" s="1"/>
  <c r="AK31" i="5"/>
  <c r="AM32" i="5" s="1"/>
  <c r="AC31" i="5"/>
  <c r="AE32" i="5" s="1"/>
  <c r="U31" i="5"/>
  <c r="W32" i="5" s="1"/>
  <c r="M31" i="5"/>
  <c r="O32" i="5" s="1"/>
  <c r="E31" i="5"/>
  <c r="M30" i="5"/>
  <c r="U30" i="5"/>
  <c r="AC30" i="5"/>
  <c r="AK30" i="5"/>
  <c r="AS20" i="5"/>
  <c r="BA20" i="5"/>
  <c r="AC20" i="5"/>
  <c r="BQ20" i="5"/>
  <c r="AK20" i="5"/>
  <c r="BI20" i="5"/>
  <c r="U20" i="5"/>
  <c r="M20" i="5"/>
  <c r="E20" i="5"/>
  <c r="AC15" i="5"/>
  <c r="M15" i="5"/>
  <c r="BI15" i="5"/>
  <c r="AK15" i="5"/>
  <c r="U15" i="5"/>
  <c r="E15" i="5"/>
  <c r="BA15" i="5"/>
  <c r="E14" i="5"/>
  <c r="M14" i="5"/>
  <c r="U14" i="5"/>
  <c r="AC14" i="5"/>
  <c r="BA9" i="5"/>
  <c r="E9" i="5"/>
  <c r="BQ9" i="5"/>
  <c r="BI9" i="5"/>
  <c r="AK9" i="5"/>
  <c r="AS9" i="5"/>
  <c r="U9" i="5"/>
  <c r="M9" i="5"/>
  <c r="U8" i="5"/>
  <c r="AS8" i="5"/>
  <c r="AK8" i="5"/>
  <c r="E8" i="5"/>
  <c r="AC8" i="5"/>
  <c r="BI8" i="5"/>
  <c r="BA8" i="5"/>
  <c r="M8" i="5"/>
  <c r="BQ8" i="5"/>
  <c r="BQ14" i="5"/>
  <c r="S41" i="4"/>
  <c r="T41" i="4" s="1"/>
  <c r="S34" i="4"/>
  <c r="C26" i="3"/>
  <c r="BI37" i="5"/>
  <c r="BK39" i="5" s="1"/>
  <c r="B26" i="3"/>
  <c r="BQ37" i="5"/>
  <c r="BS39" i="5" s="1"/>
  <c r="Z22" i="4" l="1"/>
  <c r="AB13" i="4"/>
  <c r="Z12" i="4"/>
  <c r="Z40" i="4"/>
  <c r="AB39" i="4"/>
  <c r="Z30" i="4"/>
  <c r="AC30" i="4" s="1"/>
  <c r="AB30" i="4"/>
  <c r="AB22" i="4"/>
  <c r="T38" i="4"/>
  <c r="W38" i="4"/>
  <c r="Z38" i="4" s="1"/>
  <c r="AK38" i="4"/>
  <c r="BJ26" i="5"/>
  <c r="BR26" i="5"/>
  <c r="BB26" i="5"/>
  <c r="AT26" i="5"/>
  <c r="AL26" i="5"/>
  <c r="AD26" i="5"/>
  <c r="V26" i="5"/>
  <c r="N26" i="5"/>
  <c r="F26" i="5"/>
  <c r="AD25" i="5"/>
  <c r="F25" i="5"/>
  <c r="BB25" i="5"/>
  <c r="AT25" i="5"/>
  <c r="AL25" i="5"/>
  <c r="V25" i="5"/>
  <c r="N25" i="5"/>
  <c r="BR25" i="5"/>
  <c r="BJ25" i="5"/>
  <c r="BK38" i="5"/>
  <c r="BJ38" i="5"/>
  <c r="N23" i="5"/>
  <c r="O25" i="5"/>
  <c r="O24" i="5"/>
  <c r="O23" i="5"/>
  <c r="W25" i="5"/>
  <c r="W23" i="5"/>
  <c r="V23" i="5"/>
  <c r="W24" i="5"/>
  <c r="AE25" i="5"/>
  <c r="AE24" i="5"/>
  <c r="AE23" i="5"/>
  <c r="AD23" i="5"/>
  <c r="BK25" i="5"/>
  <c r="BK23" i="5"/>
  <c r="BJ23" i="5"/>
  <c r="BK24" i="5"/>
  <c r="AM25" i="5"/>
  <c r="AM24" i="5"/>
  <c r="AL23" i="5"/>
  <c r="AM23" i="5"/>
  <c r="AU23" i="5"/>
  <c r="AU24" i="5"/>
  <c r="AU25" i="5"/>
  <c r="AT23" i="5"/>
  <c r="AU22" i="5"/>
  <c r="AT22" i="5"/>
  <c r="AL22" i="5"/>
  <c r="AM22" i="5"/>
  <c r="AD22" i="5"/>
  <c r="AE22" i="5"/>
  <c r="V22" i="5"/>
  <c r="W22" i="5"/>
  <c r="O22" i="5"/>
  <c r="N22" i="5"/>
  <c r="BC23" i="5"/>
  <c r="BC24" i="5"/>
  <c r="BC22" i="5"/>
  <c r="BB22" i="5"/>
  <c r="BK22" i="5"/>
  <c r="BJ22" i="5"/>
  <c r="BR22" i="5"/>
  <c r="BS22" i="5"/>
  <c r="BS23" i="5"/>
  <c r="BS24" i="5"/>
  <c r="G23" i="5"/>
  <c r="F22" i="5"/>
  <c r="G22" i="5"/>
  <c r="G24" i="5"/>
  <c r="W21" i="5"/>
  <c r="V21" i="5"/>
  <c r="AD21" i="5"/>
  <c r="AE21" i="5"/>
  <c r="N21" i="5"/>
  <c r="O21" i="5"/>
  <c r="F21" i="5"/>
  <c r="G21" i="5"/>
  <c r="AL21" i="5"/>
  <c r="AM21" i="5"/>
  <c r="AT21" i="5"/>
  <c r="AU21" i="5"/>
  <c r="BB21" i="5"/>
  <c r="BC21" i="5"/>
  <c r="BJ21" i="5"/>
  <c r="BK21" i="5"/>
  <c r="BS21" i="5"/>
  <c r="BR21" i="5"/>
  <c r="W19" i="5"/>
  <c r="V19" i="5"/>
  <c r="AE19" i="5"/>
  <c r="AD19" i="5"/>
  <c r="BB19" i="5"/>
  <c r="BC19" i="5"/>
  <c r="N19" i="5"/>
  <c r="O19" i="5"/>
  <c r="AL19" i="5"/>
  <c r="AM19" i="5"/>
  <c r="BR19" i="5"/>
  <c r="BS19" i="5"/>
  <c r="BK19" i="5"/>
  <c r="BJ19" i="5"/>
  <c r="AT19" i="5"/>
  <c r="AU19" i="5"/>
  <c r="F19" i="5"/>
  <c r="G19" i="5"/>
  <c r="BC18" i="5"/>
  <c r="BB18" i="5"/>
  <c r="AU18" i="5"/>
  <c r="AT18" i="5"/>
  <c r="W18" i="5"/>
  <c r="V18" i="5"/>
  <c r="F18" i="5"/>
  <c r="G18" i="5"/>
  <c r="AL18" i="5"/>
  <c r="AM18" i="5"/>
  <c r="AE18" i="5"/>
  <c r="AD18" i="5"/>
  <c r="BS18" i="5"/>
  <c r="BR18" i="5"/>
  <c r="O18" i="5"/>
  <c r="N18" i="5"/>
  <c r="BJ18" i="5"/>
  <c r="BK18" i="5"/>
  <c r="AD17" i="5"/>
  <c r="AE17" i="5"/>
  <c r="BJ17" i="5"/>
  <c r="BK17" i="5"/>
  <c r="N17" i="5"/>
  <c r="O17" i="5"/>
  <c r="BB17" i="5"/>
  <c r="BC17" i="5"/>
  <c r="AU17" i="5"/>
  <c r="AT17" i="5"/>
  <c r="AL17" i="5"/>
  <c r="AM17" i="5"/>
  <c r="BS17" i="5"/>
  <c r="BR17" i="5"/>
  <c r="V17" i="5"/>
  <c r="W17" i="5"/>
  <c r="G17" i="5"/>
  <c r="F17" i="5"/>
  <c r="BB16" i="5"/>
  <c r="BC16" i="5"/>
  <c r="BS16" i="5"/>
  <c r="BR16" i="5"/>
  <c r="N16" i="5"/>
  <c r="O16" i="5"/>
  <c r="W16" i="5"/>
  <c r="V16" i="5"/>
  <c r="AM16" i="5"/>
  <c r="AL16" i="5"/>
  <c r="AU16" i="5"/>
  <c r="AT16" i="5"/>
  <c r="BJ16" i="5"/>
  <c r="BK16" i="5"/>
  <c r="G16" i="5"/>
  <c r="F16" i="5"/>
  <c r="AE16" i="5"/>
  <c r="AD16" i="5"/>
  <c r="AT15" i="5"/>
  <c r="AU15" i="5"/>
  <c r="BS15" i="5"/>
  <c r="BR15" i="5"/>
  <c r="AT13" i="5"/>
  <c r="AU13" i="5"/>
  <c r="AU14" i="5"/>
  <c r="AD13" i="5"/>
  <c r="AE13" i="5"/>
  <c r="AM13" i="5"/>
  <c r="AM14" i="5"/>
  <c r="AL13" i="5"/>
  <c r="BK13" i="5"/>
  <c r="BK14" i="5"/>
  <c r="BJ13" i="5"/>
  <c r="V13" i="5"/>
  <c r="W13" i="5"/>
  <c r="N13" i="5"/>
  <c r="O13" i="5"/>
  <c r="G13" i="5"/>
  <c r="F13" i="5"/>
  <c r="BR13" i="5"/>
  <c r="BS13" i="5"/>
  <c r="BB13" i="5"/>
  <c r="BC13" i="5"/>
  <c r="BC14" i="5"/>
  <c r="O12" i="5"/>
  <c r="N12" i="5"/>
  <c r="V12" i="5"/>
  <c r="W12" i="5"/>
  <c r="AD12" i="5"/>
  <c r="AE12" i="5"/>
  <c r="F12" i="5"/>
  <c r="G12" i="5"/>
  <c r="AM12" i="5"/>
  <c r="AL12" i="5"/>
  <c r="BS12" i="5"/>
  <c r="BR12" i="5"/>
  <c r="AT38" i="5"/>
  <c r="AU38" i="5"/>
  <c r="AD38" i="5"/>
  <c r="AE38" i="5"/>
  <c r="AT24" i="5"/>
  <c r="BB24" i="5"/>
  <c r="BR24" i="5"/>
  <c r="BJ24" i="5"/>
  <c r="AL24" i="5"/>
  <c r="F24" i="5"/>
  <c r="N24" i="5"/>
  <c r="AD24" i="5"/>
  <c r="V24" i="5"/>
  <c r="F23" i="5"/>
  <c r="BR23" i="5"/>
  <c r="BB23" i="5"/>
  <c r="AT14" i="5"/>
  <c r="BJ14" i="5"/>
  <c r="AL14" i="5"/>
  <c r="BB14" i="5"/>
  <c r="BJ12" i="5"/>
  <c r="AT12" i="5"/>
  <c r="BB12" i="5"/>
  <c r="N10" i="5"/>
  <c r="BJ10" i="5"/>
  <c r="AL10" i="5"/>
  <c r="BR10" i="5"/>
  <c r="V10" i="5"/>
  <c r="BB10" i="5"/>
  <c r="AT10" i="5"/>
  <c r="F10" i="5"/>
  <c r="AD10" i="5"/>
  <c r="BS38" i="5"/>
  <c r="BR38" i="5"/>
  <c r="BC38" i="5"/>
  <c r="BB38" i="5"/>
  <c r="AM38" i="5"/>
  <c r="AL38" i="5"/>
  <c r="V38" i="5"/>
  <c r="W38" i="5"/>
  <c r="AK39" i="4"/>
  <c r="T39" i="4"/>
  <c r="W39" i="4"/>
  <c r="Z39" i="4" s="1"/>
  <c r="AC39" i="4" s="1"/>
  <c r="AK37" i="4"/>
  <c r="W37" i="4"/>
  <c r="Z37" i="4" s="1"/>
  <c r="T37" i="4"/>
  <c r="W36" i="4"/>
  <c r="Z36" i="4" s="1"/>
  <c r="AK36" i="4"/>
  <c r="T36" i="4"/>
  <c r="AK35" i="4"/>
  <c r="W35" i="4"/>
  <c r="Z35" i="4" s="1"/>
  <c r="T35" i="4"/>
  <c r="U35" i="4" s="1"/>
  <c r="W32" i="4"/>
  <c r="AK32" i="4"/>
  <c r="T32" i="4"/>
  <c r="U32" i="4" s="1"/>
  <c r="BB32" i="5"/>
  <c r="BJ32" i="5"/>
  <c r="BR32" i="5"/>
  <c r="AT32" i="5"/>
  <c r="AL32" i="5"/>
  <c r="V32" i="5"/>
  <c r="AD32" i="5"/>
  <c r="G33" i="5"/>
  <c r="G32" i="5"/>
  <c r="BC10" i="5"/>
  <c r="BC11" i="5"/>
  <c r="G10" i="5"/>
  <c r="G11" i="5"/>
  <c r="BS10" i="5"/>
  <c r="BS11" i="5"/>
  <c r="BK10" i="5"/>
  <c r="BK11" i="5"/>
  <c r="AM10" i="5"/>
  <c r="AM11" i="5"/>
  <c r="AU10" i="5"/>
  <c r="AU11" i="5"/>
  <c r="W11" i="5"/>
  <c r="W10" i="5"/>
  <c r="O10" i="5"/>
  <c r="O11" i="5"/>
  <c r="AE10" i="5"/>
  <c r="AE9" i="5"/>
  <c r="D27" i="3"/>
  <c r="T34" i="4"/>
  <c r="BU7" i="5"/>
  <c r="BM7" i="5"/>
  <c r="AW7" i="5"/>
  <c r="BE7" i="5"/>
  <c r="I7" i="5"/>
  <c r="Q7" i="5"/>
  <c r="Y7" i="5"/>
  <c r="AG7" i="5"/>
  <c r="AO7" i="5"/>
  <c r="AB41" i="4"/>
  <c r="B20" i="3"/>
  <c r="G38" i="5"/>
  <c r="F38" i="5"/>
  <c r="O38" i="5"/>
  <c r="N38" i="5"/>
  <c r="AG30" i="4"/>
  <c r="D28" i="3"/>
  <c r="D29" i="3" s="1"/>
  <c r="AG18" i="4"/>
  <c r="C28" i="3"/>
  <c r="C29" i="3" s="1"/>
  <c r="AG6" i="4"/>
  <c r="B28" i="3"/>
  <c r="B29" i="3" s="1"/>
  <c r="BS43" i="5"/>
  <c r="BR43" i="5"/>
  <c r="BK43" i="5"/>
  <c r="BJ43" i="5"/>
  <c r="BC43" i="5"/>
  <c r="BB43" i="5"/>
  <c r="AU43" i="5"/>
  <c r="AT43" i="5"/>
  <c r="AM43" i="5"/>
  <c r="AL43" i="5"/>
  <c r="AE43" i="5"/>
  <c r="AD43" i="5"/>
  <c r="W43" i="5"/>
  <c r="V43" i="5"/>
  <c r="O43" i="5"/>
  <c r="N43" i="5"/>
  <c r="G43" i="5"/>
  <c r="F43" i="5"/>
  <c r="G37" i="5"/>
  <c r="F37" i="5"/>
  <c r="BC37" i="5"/>
  <c r="BB37" i="5"/>
  <c r="AU37" i="5"/>
  <c r="AT37" i="5"/>
  <c r="AM37" i="5"/>
  <c r="AL37" i="5"/>
  <c r="AE37" i="5"/>
  <c r="AD37" i="5"/>
  <c r="W37" i="5"/>
  <c r="V37" i="5"/>
  <c r="O37" i="5"/>
  <c r="N37" i="5"/>
  <c r="G36" i="5"/>
  <c r="F36" i="5"/>
  <c r="O36" i="5"/>
  <c r="N36" i="5"/>
  <c r="W36" i="5"/>
  <c r="V36" i="5"/>
  <c r="AE36" i="5"/>
  <c r="AD36" i="5"/>
  <c r="AM36" i="5"/>
  <c r="AL36" i="5"/>
  <c r="AU36" i="5"/>
  <c r="AT36" i="5"/>
  <c r="BC36" i="5"/>
  <c r="BB36" i="5"/>
  <c r="BK36" i="5"/>
  <c r="BJ36" i="5"/>
  <c r="BS36" i="5"/>
  <c r="BR36" i="5"/>
  <c r="AU35" i="5"/>
  <c r="AT35" i="5"/>
  <c r="BS35" i="5"/>
  <c r="BR35" i="5"/>
  <c r="BK35" i="5"/>
  <c r="BJ35" i="5"/>
  <c r="BC35" i="5"/>
  <c r="BB35" i="5"/>
  <c r="G35" i="5"/>
  <c r="F35" i="5"/>
  <c r="AM35" i="5"/>
  <c r="AL35" i="5"/>
  <c r="AE35" i="5"/>
  <c r="AD35" i="5"/>
  <c r="W35" i="5"/>
  <c r="V35" i="5"/>
  <c r="O35" i="5"/>
  <c r="N35" i="5"/>
  <c r="BS34" i="5"/>
  <c r="BR34" i="5"/>
  <c r="G34" i="5"/>
  <c r="F34" i="5"/>
  <c r="O34" i="5"/>
  <c r="N34" i="5"/>
  <c r="W34" i="5"/>
  <c r="V34" i="5"/>
  <c r="AE34" i="5"/>
  <c r="AD34" i="5"/>
  <c r="AM34" i="5"/>
  <c r="AL34" i="5"/>
  <c r="AU34" i="5"/>
  <c r="AT34" i="5"/>
  <c r="BC34" i="5"/>
  <c r="BB34" i="5"/>
  <c r="BK34" i="5"/>
  <c r="BJ34" i="5"/>
  <c r="O33" i="5"/>
  <c r="N33" i="5"/>
  <c r="W33" i="5"/>
  <c r="V33" i="5"/>
  <c r="AE33" i="5"/>
  <c r="AD33" i="5"/>
  <c r="AU33" i="5"/>
  <c r="AT33" i="5"/>
  <c r="AM33" i="5"/>
  <c r="AL33" i="5"/>
  <c r="BS33" i="5"/>
  <c r="BR33" i="5"/>
  <c r="BK33" i="5"/>
  <c r="BJ33" i="5"/>
  <c r="BC33" i="5"/>
  <c r="BB33" i="5"/>
  <c r="BC31" i="5"/>
  <c r="BB31" i="5"/>
  <c r="AM31" i="5"/>
  <c r="AL31" i="5"/>
  <c r="AE31" i="5"/>
  <c r="AD31" i="5"/>
  <c r="W31" i="5"/>
  <c r="V31" i="5"/>
  <c r="O31" i="5"/>
  <c r="N31" i="5"/>
  <c r="G31" i="5"/>
  <c r="F31" i="5"/>
  <c r="O30" i="5"/>
  <c r="N30" i="5"/>
  <c r="W30" i="5"/>
  <c r="V30" i="5"/>
  <c r="AE30" i="5"/>
  <c r="AD30" i="5"/>
  <c r="AM30" i="5"/>
  <c r="AL30" i="5"/>
  <c r="AT20" i="5"/>
  <c r="AU20" i="5"/>
  <c r="BC20" i="5"/>
  <c r="BB20" i="5"/>
  <c r="AE20" i="5"/>
  <c r="AD20" i="5"/>
  <c r="BR20" i="5"/>
  <c r="BS20" i="5"/>
  <c r="AL20" i="5"/>
  <c r="AM20" i="5"/>
  <c r="BK20" i="5"/>
  <c r="BJ20" i="5"/>
  <c r="W20" i="5"/>
  <c r="V20" i="5"/>
  <c r="O20" i="5"/>
  <c r="N20" i="5"/>
  <c r="G20" i="5"/>
  <c r="F20" i="5"/>
  <c r="AD15" i="5"/>
  <c r="AE15" i="5"/>
  <c r="N15" i="5"/>
  <c r="O15" i="5"/>
  <c r="BK15" i="5"/>
  <c r="BJ15" i="5"/>
  <c r="AM15" i="5"/>
  <c r="AL15" i="5"/>
  <c r="W15" i="5"/>
  <c r="V15" i="5"/>
  <c r="F15" i="5"/>
  <c r="G15" i="5"/>
  <c r="BC15" i="5"/>
  <c r="BB15" i="5"/>
  <c r="G14" i="5"/>
  <c r="F14" i="5"/>
  <c r="O14" i="5"/>
  <c r="N14" i="5"/>
  <c r="W14" i="5"/>
  <c r="V14" i="5"/>
  <c r="AE14" i="5"/>
  <c r="AD14" i="5"/>
  <c r="BB9" i="5"/>
  <c r="BC9" i="5"/>
  <c r="F9" i="5"/>
  <c r="G9" i="5"/>
  <c r="BS9" i="5"/>
  <c r="BR9" i="5"/>
  <c r="BJ9" i="5"/>
  <c r="BK9" i="5"/>
  <c r="AM9" i="5"/>
  <c r="AL9" i="5"/>
  <c r="AU9" i="5"/>
  <c r="AT9" i="5"/>
  <c r="W9" i="5"/>
  <c r="V9" i="5"/>
  <c r="O9" i="5"/>
  <c r="N9" i="5"/>
  <c r="W8" i="5"/>
  <c r="X8" i="5" s="1"/>
  <c r="V8" i="5"/>
  <c r="AU8" i="5"/>
  <c r="AV8" i="5" s="1"/>
  <c r="AT8" i="5"/>
  <c r="AL8" i="5"/>
  <c r="AM8" i="5"/>
  <c r="AN8" i="5" s="1"/>
  <c r="G8" i="5"/>
  <c r="H8" i="5" s="1"/>
  <c r="F8" i="5"/>
  <c r="AD8" i="5"/>
  <c r="AE8" i="5"/>
  <c r="AF8" i="5" s="1"/>
  <c r="BJ8" i="5"/>
  <c r="BK8" i="5"/>
  <c r="BL8" i="5" s="1"/>
  <c r="BB8" i="5"/>
  <c r="BC8" i="5"/>
  <c r="BD8" i="5" s="1"/>
  <c r="N8" i="5"/>
  <c r="O8" i="5"/>
  <c r="P8" i="5" s="1"/>
  <c r="BR8" i="5"/>
  <c r="BS8" i="5"/>
  <c r="BT8" i="5" s="1"/>
  <c r="BS14" i="5"/>
  <c r="BR14" i="5"/>
  <c r="AK41" i="4"/>
  <c r="W41" i="4"/>
  <c r="Z41" i="4" s="1"/>
  <c r="W34" i="4"/>
  <c r="Z34" i="4" s="1"/>
  <c r="AK34" i="4"/>
  <c r="BK37" i="5"/>
  <c r="BJ37" i="5"/>
  <c r="BS37" i="5"/>
  <c r="BR37" i="5"/>
  <c r="AB38" i="4"/>
  <c r="AB37" i="4"/>
  <c r="AB36" i="4"/>
  <c r="AB35" i="4"/>
  <c r="AB34" i="4"/>
  <c r="Z33" i="4"/>
  <c r="AB33" i="4"/>
  <c r="Z32" i="4"/>
  <c r="AB32" i="4"/>
  <c r="Z31" i="4"/>
  <c r="AB31" i="4"/>
  <c r="Z25" i="4"/>
  <c r="Z24" i="4"/>
  <c r="AB23" i="4"/>
  <c r="AC23" i="4" s="1"/>
  <c r="AB40" i="4"/>
  <c r="Z29" i="4"/>
  <c r="AB29" i="4"/>
  <c r="Z28" i="4"/>
  <c r="AB28" i="4"/>
  <c r="Z27" i="4"/>
  <c r="AB27" i="4"/>
  <c r="Z26" i="4"/>
  <c r="AB26" i="4"/>
  <c r="AB25" i="4"/>
  <c r="AB24" i="4"/>
  <c r="AB21" i="4"/>
  <c r="AC21" i="4" s="1"/>
  <c r="Z20" i="4"/>
  <c r="AB20" i="4"/>
  <c r="Z19" i="4"/>
  <c r="AB19" i="4"/>
  <c r="Z18" i="4"/>
  <c r="AB18" i="4"/>
  <c r="Z17" i="4"/>
  <c r="AB17" i="4"/>
  <c r="AB16" i="4"/>
  <c r="Z16" i="4"/>
  <c r="AC16" i="4" s="1"/>
  <c r="AB15" i="4"/>
  <c r="Z15" i="4"/>
  <c r="AC15" i="4" s="1"/>
  <c r="Z14" i="4"/>
  <c r="AB14" i="4"/>
  <c r="Z13" i="4"/>
  <c r="AB12" i="4"/>
  <c r="Z11" i="4"/>
  <c r="AB11" i="4"/>
  <c r="Z10" i="4"/>
  <c r="AB10" i="4"/>
  <c r="AB9" i="4"/>
  <c r="AC9" i="4" s="1"/>
  <c r="Z8" i="4"/>
  <c r="AB8" i="4"/>
  <c r="AB7" i="4"/>
  <c r="Z7" i="4"/>
  <c r="AC7" i="4" s="1"/>
  <c r="Z6" i="4"/>
  <c r="AB6" i="4"/>
  <c r="Z5" i="4"/>
  <c r="AG41" i="4"/>
  <c r="U41" i="4"/>
  <c r="AG40" i="4"/>
  <c r="U40" i="4"/>
  <c r="G40" i="5"/>
  <c r="G39" i="5"/>
  <c r="O40" i="5"/>
  <c r="O39" i="5"/>
  <c r="C35" i="3" l="1"/>
  <c r="D35" i="3"/>
  <c r="B36" i="3"/>
  <c r="D36" i="3"/>
  <c r="C36" i="3"/>
  <c r="B37" i="3"/>
  <c r="AC41" i="4"/>
  <c r="AC34" i="4"/>
  <c r="AC37" i="4"/>
  <c r="AC36" i="4"/>
  <c r="AC40" i="4"/>
  <c r="AC27" i="4"/>
  <c r="AC17" i="4"/>
  <c r="AC13" i="4"/>
  <c r="AC12" i="4"/>
  <c r="AC22" i="4"/>
  <c r="U38" i="4"/>
  <c r="AG38" i="4"/>
  <c r="U39" i="4"/>
  <c r="AG39" i="4"/>
  <c r="U37" i="4"/>
  <c r="AG37" i="4"/>
  <c r="U36" i="4"/>
  <c r="AG35" i="4"/>
  <c r="AG36" i="4"/>
  <c r="U34" i="4"/>
  <c r="AG13" i="4"/>
  <c r="AG26" i="4"/>
  <c r="AG23" i="4"/>
  <c r="AG22" i="4"/>
  <c r="AG21" i="4"/>
  <c r="AG29" i="4"/>
  <c r="AG28" i="4"/>
  <c r="AG27" i="4"/>
  <c r="AG32" i="4"/>
  <c r="AG16" i="4"/>
  <c r="AG15" i="4"/>
  <c r="AG33" i="4"/>
  <c r="AG12" i="4"/>
  <c r="AG10" i="4"/>
  <c r="AG8" i="4"/>
  <c r="AG5" i="4"/>
  <c r="AG34" i="4"/>
  <c r="AG25" i="4"/>
  <c r="AG24" i="4"/>
  <c r="AG20" i="4"/>
  <c r="AG19" i="4"/>
  <c r="AG17" i="4"/>
  <c r="AG14" i="4"/>
  <c r="AG11" i="4"/>
  <c r="AG9" i="4"/>
  <c r="AG7" i="4"/>
  <c r="B15" i="3" s="1"/>
  <c r="AG31" i="4"/>
  <c r="BU8" i="5"/>
  <c r="BT9" i="5"/>
  <c r="BM8" i="5"/>
  <c r="BL9" i="5"/>
  <c r="AW8" i="5"/>
  <c r="AV9" i="5"/>
  <c r="BE8" i="5"/>
  <c r="BD9" i="5"/>
  <c r="I8" i="5"/>
  <c r="H9" i="5"/>
  <c r="Q8" i="5"/>
  <c r="P9" i="5"/>
  <c r="Y8" i="5"/>
  <c r="X9" i="5"/>
  <c r="AG8" i="5"/>
  <c r="AF9" i="5"/>
  <c r="AO8" i="5"/>
  <c r="AN9" i="5"/>
  <c r="AC5" i="4"/>
  <c r="AE5" i="4" s="1"/>
  <c r="AD5" i="4"/>
  <c r="B35" i="3"/>
  <c r="D37" i="3"/>
  <c r="C37" i="3"/>
  <c r="AC38" i="4"/>
  <c r="AC35" i="4"/>
  <c r="AC33" i="4"/>
  <c r="AC32" i="4"/>
  <c r="AC31" i="4"/>
  <c r="AC25" i="4"/>
  <c r="AC24" i="4"/>
  <c r="AC29" i="4"/>
  <c r="AC28" i="4"/>
  <c r="AC26" i="4"/>
  <c r="AC20" i="4"/>
  <c r="AC19" i="4"/>
  <c r="AC18" i="4"/>
  <c r="AC14" i="4"/>
  <c r="AC6" i="4"/>
  <c r="AC11" i="4"/>
  <c r="AC10" i="4"/>
  <c r="AC8" i="4"/>
  <c r="AE6" i="4" l="1"/>
  <c r="AE7" i="4" s="1"/>
  <c r="AE8" i="4" s="1"/>
  <c r="AE9" i="4" s="1"/>
  <c r="AE10" i="4" s="1"/>
  <c r="AE11" i="4" s="1"/>
  <c r="AE12" i="4" s="1"/>
  <c r="AE13" i="4" s="1"/>
  <c r="AE14" i="4" s="1"/>
  <c r="AE15" i="4" s="1"/>
  <c r="AE16" i="4" s="1"/>
  <c r="AE17" i="4" s="1"/>
  <c r="AE18" i="4" s="1"/>
  <c r="AE19" i="4" s="1"/>
  <c r="AE20" i="4" s="1"/>
  <c r="AE21" i="4" s="1"/>
  <c r="AE22" i="4" s="1"/>
  <c r="AE23" i="4" s="1"/>
  <c r="AE24" i="4" s="1"/>
  <c r="AE25" i="4" s="1"/>
  <c r="AE26" i="4" s="1"/>
  <c r="AE27" i="4" s="1"/>
  <c r="AE28" i="4" s="1"/>
  <c r="AE29" i="4" s="1"/>
  <c r="AE30" i="4" s="1"/>
  <c r="AE31" i="4" s="1"/>
  <c r="AE32" i="4" s="1"/>
  <c r="AE33" i="4" s="1"/>
  <c r="AE34" i="4" s="1"/>
  <c r="AE35" i="4" s="1"/>
  <c r="AE36" i="4" s="1"/>
  <c r="AE37" i="4" s="1"/>
  <c r="AE38" i="4" s="1"/>
  <c r="AE39" i="4" s="1"/>
  <c r="AE40" i="4" s="1"/>
  <c r="AE41" i="4" s="1"/>
  <c r="BU9" i="5"/>
  <c r="BT10" i="5"/>
  <c r="BM9" i="5"/>
  <c r="BL10" i="5"/>
  <c r="AW9" i="5"/>
  <c r="AV10" i="5"/>
  <c r="BE9" i="5"/>
  <c r="BD10" i="5"/>
  <c r="I9" i="5"/>
  <c r="H10" i="5"/>
  <c r="Q9" i="5"/>
  <c r="P10" i="5"/>
  <c r="Y9" i="5"/>
  <c r="X10" i="5"/>
  <c r="AG9" i="5"/>
  <c r="AF10" i="5"/>
  <c r="AO9" i="5"/>
  <c r="AN10" i="5"/>
  <c r="AF5" i="4"/>
  <c r="AI5" i="4" s="1"/>
  <c r="AH5" i="4"/>
  <c r="AL5" i="4"/>
  <c r="AD6" i="4"/>
  <c r="BU10" i="5" l="1"/>
  <c r="BT11" i="5"/>
  <c r="BM10" i="5"/>
  <c r="BL11" i="5"/>
  <c r="AW10" i="5"/>
  <c r="AV11" i="5"/>
  <c r="BE10" i="5"/>
  <c r="BD11" i="5"/>
  <c r="I10" i="5"/>
  <c r="H11" i="5"/>
  <c r="Q10" i="5"/>
  <c r="P11" i="5"/>
  <c r="Y10" i="5"/>
  <c r="X11" i="5"/>
  <c r="AG10" i="5"/>
  <c r="AF11" i="5"/>
  <c r="AO10" i="5"/>
  <c r="AN11" i="5"/>
  <c r="AF6" i="4"/>
  <c r="AI6" i="4" s="1"/>
  <c r="AH6" i="4"/>
  <c r="AL6" i="4"/>
  <c r="AD7" i="4"/>
  <c r="BU11" i="5" l="1"/>
  <c r="BT12" i="5"/>
  <c r="BM11" i="5"/>
  <c r="BL12" i="5"/>
  <c r="AW11" i="5"/>
  <c r="AV12" i="5"/>
  <c r="BE11" i="5"/>
  <c r="BD12" i="5"/>
  <c r="I11" i="5"/>
  <c r="H12" i="5"/>
  <c r="Q11" i="5"/>
  <c r="P12" i="5"/>
  <c r="Y11" i="5"/>
  <c r="X12" i="5"/>
  <c r="AG11" i="5"/>
  <c r="AF12" i="5"/>
  <c r="AO11" i="5"/>
  <c r="AN12" i="5"/>
  <c r="AH7" i="4"/>
  <c r="AL7" i="4"/>
  <c r="AF7" i="4"/>
  <c r="AI7" i="4" s="1"/>
  <c r="AD8" i="4"/>
  <c r="BU12" i="5" l="1"/>
  <c r="BT13" i="5"/>
  <c r="BM12" i="5"/>
  <c r="BL13" i="5"/>
  <c r="AW12" i="5"/>
  <c r="AV13" i="5"/>
  <c r="BE12" i="5"/>
  <c r="BD13" i="5"/>
  <c r="I12" i="5"/>
  <c r="H13" i="5"/>
  <c r="Q12" i="5"/>
  <c r="P13" i="5"/>
  <c r="Y12" i="5"/>
  <c r="X13" i="5"/>
  <c r="AG12" i="5"/>
  <c r="AF13" i="5"/>
  <c r="AO12" i="5"/>
  <c r="AN13" i="5"/>
  <c r="AH8" i="4"/>
  <c r="AL8" i="4"/>
  <c r="AF8" i="4"/>
  <c r="AI8" i="4" s="1"/>
  <c r="AD9" i="4"/>
  <c r="BU13" i="5" l="1"/>
  <c r="BT14" i="5"/>
  <c r="BM13" i="5"/>
  <c r="BL14" i="5"/>
  <c r="AW13" i="5"/>
  <c r="AV14" i="5"/>
  <c r="BE13" i="5"/>
  <c r="BD14" i="5"/>
  <c r="I13" i="5"/>
  <c r="H14" i="5"/>
  <c r="Q13" i="5"/>
  <c r="P14" i="5"/>
  <c r="Y13" i="5"/>
  <c r="X14" i="5"/>
  <c r="AG13" i="5"/>
  <c r="AF14" i="5"/>
  <c r="AO13" i="5"/>
  <c r="AN14" i="5"/>
  <c r="AF9" i="4"/>
  <c r="AI9" i="4" s="1"/>
  <c r="AH9" i="4"/>
  <c r="AL9" i="4"/>
  <c r="AD10" i="4"/>
  <c r="BT15" i="5" l="1"/>
  <c r="BU14" i="5"/>
  <c r="BL15" i="5"/>
  <c r="BM14" i="5"/>
  <c r="AW14" i="5"/>
  <c r="AV15" i="5"/>
  <c r="BD15" i="5"/>
  <c r="BE14" i="5"/>
  <c r="I14" i="5"/>
  <c r="H15" i="5"/>
  <c r="Q14" i="5"/>
  <c r="P15" i="5"/>
  <c r="Y14" i="5"/>
  <c r="X15" i="5"/>
  <c r="AF15" i="5"/>
  <c r="AG14" i="5"/>
  <c r="AO14" i="5"/>
  <c r="AN15" i="5"/>
  <c r="AF10" i="4"/>
  <c r="AI10" i="4" s="1"/>
  <c r="AH10" i="4"/>
  <c r="AL10" i="4"/>
  <c r="AD11" i="4"/>
  <c r="BU15" i="5" l="1"/>
  <c r="BT16" i="5"/>
  <c r="BM15" i="5"/>
  <c r="BL16" i="5"/>
  <c r="AW15" i="5"/>
  <c r="AV16" i="5"/>
  <c r="BE15" i="5"/>
  <c r="BD16" i="5"/>
  <c r="I15" i="5"/>
  <c r="H16" i="5"/>
  <c r="Q15" i="5"/>
  <c r="P16" i="5"/>
  <c r="Y15" i="5"/>
  <c r="X16" i="5"/>
  <c r="AG15" i="5"/>
  <c r="AF16" i="5"/>
  <c r="AO15" i="5"/>
  <c r="AN16" i="5"/>
  <c r="AF11" i="4"/>
  <c r="AI11" i="4" s="1"/>
  <c r="AH11" i="4"/>
  <c r="AL11" i="4"/>
  <c r="AD12" i="4"/>
  <c r="BU16" i="5" l="1"/>
  <c r="BT17" i="5"/>
  <c r="BM16" i="5"/>
  <c r="BL17" i="5"/>
  <c r="AW16" i="5"/>
  <c r="AV17" i="5"/>
  <c r="BE16" i="5"/>
  <c r="BD17" i="5"/>
  <c r="I16" i="5"/>
  <c r="H17" i="5"/>
  <c r="Q16" i="5"/>
  <c r="P17" i="5"/>
  <c r="Y16" i="5"/>
  <c r="X17" i="5"/>
  <c r="AG16" i="5"/>
  <c r="AF17" i="5"/>
  <c r="AO16" i="5"/>
  <c r="AN17" i="5"/>
  <c r="AF12" i="4"/>
  <c r="AI12" i="4" s="1"/>
  <c r="AH12" i="4"/>
  <c r="AL12" i="4"/>
  <c r="AD13" i="4"/>
  <c r="BU17" i="5" l="1"/>
  <c r="BT18" i="5"/>
  <c r="BM17" i="5"/>
  <c r="BL18" i="5"/>
  <c r="AW17" i="5"/>
  <c r="AV18" i="5"/>
  <c r="BE17" i="5"/>
  <c r="BD18" i="5"/>
  <c r="I17" i="5"/>
  <c r="H18" i="5"/>
  <c r="Q17" i="5"/>
  <c r="P18" i="5"/>
  <c r="Y17" i="5"/>
  <c r="X18" i="5"/>
  <c r="AG17" i="5"/>
  <c r="AF18" i="5"/>
  <c r="AO17" i="5"/>
  <c r="AN18" i="5"/>
  <c r="AH13" i="4"/>
  <c r="AD14" i="4"/>
  <c r="AF13" i="4"/>
  <c r="AI13" i="4" s="1"/>
  <c r="AL13" i="4"/>
  <c r="BU18" i="5" l="1"/>
  <c r="BT19" i="5"/>
  <c r="BM18" i="5"/>
  <c r="BL19" i="5"/>
  <c r="AW18" i="5"/>
  <c r="AV19" i="5"/>
  <c r="BE18" i="5"/>
  <c r="BD19" i="5"/>
  <c r="I18" i="5"/>
  <c r="H19" i="5"/>
  <c r="Q18" i="5"/>
  <c r="P19" i="5"/>
  <c r="Y18" i="5"/>
  <c r="X19" i="5"/>
  <c r="AG18" i="5"/>
  <c r="AF19" i="5"/>
  <c r="AO18" i="5"/>
  <c r="AN19" i="5"/>
  <c r="AF14" i="4"/>
  <c r="AI14" i="4" s="1"/>
  <c r="AH14" i="4"/>
  <c r="AL14" i="4"/>
  <c r="AD15" i="4"/>
  <c r="BU19" i="5" l="1"/>
  <c r="BT20" i="5"/>
  <c r="BM19" i="5"/>
  <c r="BL20" i="5"/>
  <c r="AW19" i="5"/>
  <c r="AV20" i="5"/>
  <c r="BE19" i="5"/>
  <c r="BD20" i="5"/>
  <c r="I19" i="5"/>
  <c r="H20" i="5"/>
  <c r="Q19" i="5"/>
  <c r="P20" i="5"/>
  <c r="Y19" i="5"/>
  <c r="X20" i="5"/>
  <c r="AG19" i="5"/>
  <c r="AF20" i="5"/>
  <c r="AO19" i="5"/>
  <c r="AN20" i="5"/>
  <c r="AL15" i="4"/>
  <c r="AD16" i="4"/>
  <c r="AF15" i="4"/>
  <c r="AI15" i="4" s="1"/>
  <c r="AH15" i="4"/>
  <c r="BU20" i="5" l="1"/>
  <c r="BT21" i="5"/>
  <c r="BM20" i="5"/>
  <c r="BL21" i="5"/>
  <c r="AW20" i="5"/>
  <c r="AV21" i="5"/>
  <c r="BE20" i="5"/>
  <c r="BD21" i="5"/>
  <c r="I20" i="5"/>
  <c r="H21" i="5"/>
  <c r="Q20" i="5"/>
  <c r="P21" i="5"/>
  <c r="Y20" i="5"/>
  <c r="X21" i="5"/>
  <c r="AG20" i="5"/>
  <c r="AF21" i="5"/>
  <c r="AO20" i="5"/>
  <c r="AN21" i="5"/>
  <c r="AH16" i="4"/>
  <c r="AL16" i="4"/>
  <c r="AD17" i="4"/>
  <c r="AF16" i="4"/>
  <c r="AI16" i="4" s="1"/>
  <c r="BU21" i="5" l="1"/>
  <c r="BT22" i="5"/>
  <c r="BM21" i="5"/>
  <c r="BL22" i="5"/>
  <c r="AW21" i="5"/>
  <c r="AV22" i="5"/>
  <c r="BE21" i="5"/>
  <c r="BD22" i="5"/>
  <c r="I21" i="5"/>
  <c r="H22" i="5"/>
  <c r="Q21" i="5"/>
  <c r="P22" i="5"/>
  <c r="Y21" i="5"/>
  <c r="X22" i="5"/>
  <c r="AG21" i="5"/>
  <c r="AF22" i="5"/>
  <c r="AO21" i="5"/>
  <c r="AN22" i="5"/>
  <c r="AH17" i="4"/>
  <c r="AD18" i="4"/>
  <c r="AF17" i="4"/>
  <c r="AI17" i="4" s="1"/>
  <c r="AL17" i="4"/>
  <c r="BU22" i="5" l="1"/>
  <c r="BT23" i="5"/>
  <c r="BM22" i="5"/>
  <c r="BL23" i="5"/>
  <c r="AW22" i="5"/>
  <c r="AV23" i="5"/>
  <c r="BE22" i="5"/>
  <c r="BD23" i="5"/>
  <c r="I22" i="5"/>
  <c r="H23" i="5"/>
  <c r="Q22" i="5"/>
  <c r="P23" i="5"/>
  <c r="Y22" i="5"/>
  <c r="X23" i="5"/>
  <c r="AG22" i="5"/>
  <c r="AF23" i="5"/>
  <c r="AO22" i="5"/>
  <c r="AN23" i="5"/>
  <c r="AH18" i="4"/>
  <c r="AL18" i="4"/>
  <c r="AD19" i="4"/>
  <c r="AF18" i="4"/>
  <c r="AI18" i="4" s="1"/>
  <c r="BU23" i="5" l="1"/>
  <c r="BT24" i="5"/>
  <c r="BM23" i="5"/>
  <c r="BL24" i="5"/>
  <c r="AW23" i="5"/>
  <c r="AV24" i="5"/>
  <c r="BE23" i="5"/>
  <c r="BD24" i="5"/>
  <c r="I23" i="5"/>
  <c r="H24" i="5"/>
  <c r="Q23" i="5"/>
  <c r="P24" i="5"/>
  <c r="Y23" i="5"/>
  <c r="X24" i="5"/>
  <c r="AG23" i="5"/>
  <c r="AF24" i="5"/>
  <c r="AO23" i="5"/>
  <c r="AN24" i="5"/>
  <c r="AF19" i="4"/>
  <c r="AI19" i="4" s="1"/>
  <c r="AH19" i="4"/>
  <c r="AL19" i="4"/>
  <c r="AD20" i="4"/>
  <c r="BU24" i="5" l="1"/>
  <c r="BT25" i="5"/>
  <c r="BM24" i="5"/>
  <c r="BL25" i="5"/>
  <c r="AW24" i="5"/>
  <c r="AV25" i="5"/>
  <c r="BE24" i="5"/>
  <c r="BD25" i="5"/>
  <c r="I24" i="5"/>
  <c r="H25" i="5"/>
  <c r="Q24" i="5"/>
  <c r="P25" i="5"/>
  <c r="Y24" i="5"/>
  <c r="X25" i="5"/>
  <c r="AG24" i="5"/>
  <c r="AF25" i="5"/>
  <c r="AO24" i="5"/>
  <c r="AN25" i="5"/>
  <c r="AF20" i="4"/>
  <c r="AI20" i="4" s="1"/>
  <c r="AH20" i="4"/>
  <c r="AL20" i="4"/>
  <c r="AD21" i="4"/>
  <c r="BU25" i="5" l="1"/>
  <c r="BT26" i="5"/>
  <c r="BM25" i="5"/>
  <c r="BL26" i="5"/>
  <c r="AW25" i="5"/>
  <c r="AV26" i="5"/>
  <c r="BE25" i="5"/>
  <c r="BD26" i="5"/>
  <c r="I25" i="5"/>
  <c r="H26" i="5"/>
  <c r="Q25" i="5"/>
  <c r="P26" i="5"/>
  <c r="Y25" i="5"/>
  <c r="X26" i="5"/>
  <c r="AG25" i="5"/>
  <c r="AF26" i="5"/>
  <c r="AO25" i="5"/>
  <c r="AN26" i="5"/>
  <c r="AF21" i="4"/>
  <c r="AI21" i="4" s="1"/>
  <c r="AH21" i="4"/>
  <c r="AL21" i="4"/>
  <c r="AD22" i="4"/>
  <c r="BU26" i="5" l="1"/>
  <c r="BT27" i="5"/>
  <c r="BM26" i="5"/>
  <c r="BL27" i="5"/>
  <c r="AW26" i="5"/>
  <c r="AV27" i="5"/>
  <c r="BE26" i="5"/>
  <c r="BD27" i="5"/>
  <c r="I26" i="5"/>
  <c r="H27" i="5"/>
  <c r="Q26" i="5"/>
  <c r="P27" i="5"/>
  <c r="Y26" i="5"/>
  <c r="X27" i="5"/>
  <c r="AG26" i="5"/>
  <c r="AF27" i="5"/>
  <c r="AO26" i="5"/>
  <c r="AN27" i="5"/>
  <c r="AF22" i="4"/>
  <c r="AI22" i="4" s="1"/>
  <c r="AH22" i="4"/>
  <c r="AL22" i="4"/>
  <c r="AD23" i="4"/>
  <c r="BU27" i="5" l="1"/>
  <c r="BT28" i="5"/>
  <c r="BM27" i="5"/>
  <c r="BL28" i="5"/>
  <c r="AW27" i="5"/>
  <c r="AV28" i="5"/>
  <c r="BE27" i="5"/>
  <c r="BD28" i="5"/>
  <c r="I27" i="5"/>
  <c r="H28" i="5"/>
  <c r="Q27" i="5"/>
  <c r="P28" i="5"/>
  <c r="Y27" i="5"/>
  <c r="X28" i="5"/>
  <c r="AG27" i="5"/>
  <c r="AF28" i="5"/>
  <c r="AO27" i="5"/>
  <c r="AN28" i="5"/>
  <c r="AF23" i="4"/>
  <c r="AI23" i="4" s="1"/>
  <c r="AL23" i="4"/>
  <c r="AD24" i="4"/>
  <c r="AH23" i="4"/>
  <c r="BU28" i="5" l="1"/>
  <c r="BT29" i="5"/>
  <c r="BM28" i="5"/>
  <c r="BL29" i="5"/>
  <c r="AW28" i="5"/>
  <c r="AV29" i="5"/>
  <c r="BE28" i="5"/>
  <c r="BD29" i="5"/>
  <c r="I28" i="5"/>
  <c r="H29" i="5"/>
  <c r="Q28" i="5"/>
  <c r="P29" i="5"/>
  <c r="Y28" i="5"/>
  <c r="X29" i="5"/>
  <c r="AG28" i="5"/>
  <c r="AF29" i="5"/>
  <c r="AO28" i="5"/>
  <c r="AN29" i="5"/>
  <c r="AF24" i="4"/>
  <c r="AI24" i="4" s="1"/>
  <c r="AH24" i="4"/>
  <c r="AL24" i="4"/>
  <c r="AD25" i="4"/>
  <c r="BU29" i="5" l="1"/>
  <c r="BT30" i="5"/>
  <c r="BM29" i="5"/>
  <c r="BL30" i="5"/>
  <c r="AW29" i="5"/>
  <c r="AV30" i="5"/>
  <c r="BE29" i="5"/>
  <c r="BD30" i="5"/>
  <c r="I29" i="5"/>
  <c r="H30" i="5"/>
  <c r="Q29" i="5"/>
  <c r="P30" i="5"/>
  <c r="Y29" i="5"/>
  <c r="X30" i="5"/>
  <c r="AG29" i="5"/>
  <c r="AF30" i="5"/>
  <c r="AO29" i="5"/>
  <c r="AN30" i="5"/>
  <c r="AF25" i="4"/>
  <c r="AI25" i="4" s="1"/>
  <c r="AH25" i="4"/>
  <c r="AL25" i="4"/>
  <c r="AD26" i="4"/>
  <c r="BU30" i="5" l="1"/>
  <c r="BT31" i="5"/>
  <c r="BM30" i="5"/>
  <c r="BL31" i="5"/>
  <c r="AW30" i="5"/>
  <c r="AV31" i="5"/>
  <c r="BE30" i="5"/>
  <c r="BD31" i="5"/>
  <c r="I30" i="5"/>
  <c r="H31" i="5"/>
  <c r="Q30" i="5"/>
  <c r="P31" i="5"/>
  <c r="Y30" i="5"/>
  <c r="X31" i="5"/>
  <c r="AG30" i="5"/>
  <c r="AF31" i="5"/>
  <c r="AO30" i="5"/>
  <c r="AN31" i="5"/>
  <c r="AF26" i="4"/>
  <c r="AI26" i="4" s="1"/>
  <c r="AH26" i="4"/>
  <c r="AL26" i="4"/>
  <c r="AD27" i="4"/>
  <c r="BU31" i="5" l="1"/>
  <c r="BT32" i="5"/>
  <c r="BM31" i="5"/>
  <c r="BL32" i="5"/>
  <c r="AW31" i="5"/>
  <c r="AV32" i="5"/>
  <c r="BE31" i="5"/>
  <c r="BD32" i="5"/>
  <c r="I31" i="5"/>
  <c r="H32" i="5"/>
  <c r="Q31" i="5"/>
  <c r="P32" i="5"/>
  <c r="Y31" i="5"/>
  <c r="X32" i="5"/>
  <c r="AG31" i="5"/>
  <c r="AF32" i="5"/>
  <c r="AO31" i="5"/>
  <c r="AN32" i="5"/>
  <c r="AF27" i="4"/>
  <c r="AI27" i="4" s="1"/>
  <c r="AH27" i="4"/>
  <c r="AL27" i="4"/>
  <c r="AD28" i="4"/>
  <c r="BU32" i="5" l="1"/>
  <c r="BT33" i="5"/>
  <c r="BM32" i="5"/>
  <c r="BL33" i="5"/>
  <c r="AW32" i="5"/>
  <c r="AV33" i="5"/>
  <c r="BE32" i="5"/>
  <c r="BD33" i="5"/>
  <c r="I32" i="5"/>
  <c r="H33" i="5"/>
  <c r="Q32" i="5"/>
  <c r="P33" i="5"/>
  <c r="Y32" i="5"/>
  <c r="X33" i="5"/>
  <c r="AG32" i="5"/>
  <c r="AF33" i="5"/>
  <c r="AO32" i="5"/>
  <c r="AN33" i="5"/>
  <c r="AF28" i="4"/>
  <c r="AI28" i="4" s="1"/>
  <c r="AH28" i="4"/>
  <c r="AL28" i="4"/>
  <c r="AD29" i="4"/>
  <c r="BU33" i="5" l="1"/>
  <c r="BT34" i="5"/>
  <c r="BM33" i="5"/>
  <c r="BL34" i="5"/>
  <c r="AW33" i="5"/>
  <c r="AV34" i="5"/>
  <c r="BE33" i="5"/>
  <c r="BD34" i="5"/>
  <c r="I33" i="5"/>
  <c r="H34" i="5"/>
  <c r="Q33" i="5"/>
  <c r="P34" i="5"/>
  <c r="Y33" i="5"/>
  <c r="X34" i="5"/>
  <c r="AG33" i="5"/>
  <c r="AF34" i="5"/>
  <c r="AO33" i="5"/>
  <c r="AN34" i="5"/>
  <c r="AF29" i="4"/>
  <c r="AI29" i="4" s="1"/>
  <c r="AH29" i="4"/>
  <c r="AL29" i="4"/>
  <c r="AD30" i="4"/>
  <c r="BU34" i="5" l="1"/>
  <c r="BT35" i="5"/>
  <c r="BM34" i="5"/>
  <c r="BL35" i="5"/>
  <c r="AW34" i="5"/>
  <c r="AV35" i="5"/>
  <c r="BE34" i="5"/>
  <c r="BD35" i="5"/>
  <c r="I34" i="5"/>
  <c r="H35" i="5"/>
  <c r="Q34" i="5"/>
  <c r="P35" i="5"/>
  <c r="Y34" i="5"/>
  <c r="X35" i="5"/>
  <c r="AG34" i="5"/>
  <c r="AF35" i="5"/>
  <c r="AO34" i="5"/>
  <c r="AN35" i="5"/>
  <c r="AF30" i="4"/>
  <c r="AI30" i="4" s="1"/>
  <c r="AH30" i="4"/>
  <c r="AL30" i="4"/>
  <c r="AD31" i="4"/>
  <c r="BU35" i="5" l="1"/>
  <c r="BT36" i="5"/>
  <c r="BM35" i="5"/>
  <c r="BL36" i="5"/>
  <c r="AW35" i="5"/>
  <c r="AV36" i="5"/>
  <c r="BE35" i="5"/>
  <c r="BD36" i="5"/>
  <c r="I35" i="5"/>
  <c r="H36" i="5"/>
  <c r="Q35" i="5"/>
  <c r="P36" i="5"/>
  <c r="Y35" i="5"/>
  <c r="X36" i="5"/>
  <c r="AG35" i="5"/>
  <c r="AF36" i="5"/>
  <c r="AO35" i="5"/>
  <c r="AN36" i="5"/>
  <c r="AF31" i="4"/>
  <c r="AI31" i="4" s="1"/>
  <c r="AH31" i="4"/>
  <c r="AL31" i="4"/>
  <c r="AD32" i="4"/>
  <c r="BU36" i="5" l="1"/>
  <c r="BT37" i="5"/>
  <c r="BM36" i="5"/>
  <c r="BL37" i="5"/>
  <c r="AW36" i="5"/>
  <c r="AV37" i="5"/>
  <c r="BE36" i="5"/>
  <c r="BD37" i="5"/>
  <c r="I36" i="5"/>
  <c r="H37" i="5"/>
  <c r="Q36" i="5"/>
  <c r="P37" i="5"/>
  <c r="Y36" i="5"/>
  <c r="X37" i="5"/>
  <c r="AG36" i="5"/>
  <c r="AF37" i="5"/>
  <c r="AO36" i="5"/>
  <c r="AN37" i="5"/>
  <c r="AF32" i="4"/>
  <c r="AI32" i="4" s="1"/>
  <c r="AH32" i="4"/>
  <c r="AL32" i="4"/>
  <c r="AD33" i="4"/>
  <c r="BU37" i="5" l="1"/>
  <c r="BT38" i="5"/>
  <c r="BM37" i="5"/>
  <c r="BL38" i="5"/>
  <c r="AW37" i="5"/>
  <c r="AV38" i="5"/>
  <c r="BE37" i="5"/>
  <c r="BD38" i="5"/>
  <c r="I37" i="5"/>
  <c r="H38" i="5"/>
  <c r="Q37" i="5"/>
  <c r="P38" i="5"/>
  <c r="Y37" i="5"/>
  <c r="X38" i="5"/>
  <c r="AG37" i="5"/>
  <c r="AF38" i="5"/>
  <c r="AO37" i="5"/>
  <c r="AN38" i="5"/>
  <c r="AF33" i="4"/>
  <c r="AI33" i="4" s="1"/>
  <c r="AH33" i="4"/>
  <c r="AL33" i="4"/>
  <c r="AD34" i="4"/>
  <c r="BU38" i="5" l="1"/>
  <c r="BT39" i="5"/>
  <c r="BM38" i="5"/>
  <c r="BL39" i="5"/>
  <c r="AW38" i="5"/>
  <c r="AV39" i="5"/>
  <c r="BE38" i="5"/>
  <c r="BD39" i="5"/>
  <c r="I38" i="5"/>
  <c r="H39" i="5"/>
  <c r="Q38" i="5"/>
  <c r="P39" i="5"/>
  <c r="Y38" i="5"/>
  <c r="X39" i="5"/>
  <c r="AG38" i="5"/>
  <c r="AF39" i="5"/>
  <c r="AO38" i="5"/>
  <c r="AN39" i="5"/>
  <c r="AF34" i="4"/>
  <c r="AI34" i="4" s="1"/>
  <c r="AH34" i="4"/>
  <c r="AD35" i="4"/>
  <c r="AL34" i="4"/>
  <c r="BU39" i="5" l="1"/>
  <c r="BT40" i="5"/>
  <c r="BM39" i="5"/>
  <c r="BL40" i="5"/>
  <c r="AW39" i="5"/>
  <c r="AV40" i="5"/>
  <c r="BE39" i="5"/>
  <c r="BD40" i="5"/>
  <c r="I39" i="5"/>
  <c r="H40" i="5"/>
  <c r="Q39" i="5"/>
  <c r="P40" i="5"/>
  <c r="Y39" i="5"/>
  <c r="X40" i="5"/>
  <c r="AG39" i="5"/>
  <c r="AF40" i="5"/>
  <c r="AO39" i="5"/>
  <c r="AN40" i="5"/>
  <c r="AH35" i="4"/>
  <c r="AD36" i="4"/>
  <c r="AL35" i="4"/>
  <c r="AF35" i="4"/>
  <c r="AI35" i="4" s="1"/>
  <c r="BU40" i="5" l="1"/>
  <c r="BT41" i="5"/>
  <c r="BM40" i="5"/>
  <c r="BL41" i="5"/>
  <c r="AW40" i="5"/>
  <c r="AV41" i="5"/>
  <c r="BE40" i="5"/>
  <c r="BD41" i="5"/>
  <c r="I40" i="5"/>
  <c r="H41" i="5"/>
  <c r="Q40" i="5"/>
  <c r="P41" i="5"/>
  <c r="Y40" i="5"/>
  <c r="X41" i="5"/>
  <c r="AG40" i="5"/>
  <c r="AF41" i="5"/>
  <c r="AO40" i="5"/>
  <c r="AN41" i="5"/>
  <c r="AD37" i="4"/>
  <c r="AF36" i="4"/>
  <c r="AI36" i="4" s="1"/>
  <c r="AH36" i="4"/>
  <c r="AL36" i="4"/>
  <c r="BU41" i="5" l="1"/>
  <c r="BT42" i="5"/>
  <c r="BM41" i="5"/>
  <c r="BL42" i="5"/>
  <c r="AW41" i="5"/>
  <c r="AV42" i="5"/>
  <c r="BE41" i="5"/>
  <c r="BD42" i="5"/>
  <c r="I41" i="5"/>
  <c r="H42" i="5"/>
  <c r="Q41" i="5"/>
  <c r="P42" i="5"/>
  <c r="Y41" i="5"/>
  <c r="X42" i="5"/>
  <c r="AG41" i="5"/>
  <c r="AF42" i="5"/>
  <c r="AO41" i="5"/>
  <c r="AN42" i="5"/>
  <c r="AD38" i="4"/>
  <c r="AF37" i="4"/>
  <c r="AI37" i="4" s="1"/>
  <c r="AH37" i="4"/>
  <c r="AL37" i="4"/>
  <c r="BU42" i="5" l="1"/>
  <c r="BT43" i="5"/>
  <c r="BM42" i="5"/>
  <c r="BL43" i="5"/>
  <c r="AW42" i="5"/>
  <c r="AV43" i="5"/>
  <c r="BE42" i="5"/>
  <c r="BD43" i="5"/>
  <c r="I42" i="5"/>
  <c r="H43" i="5"/>
  <c r="Q42" i="5"/>
  <c r="P43" i="5"/>
  <c r="Y42" i="5"/>
  <c r="X43" i="5"/>
  <c r="AG42" i="5"/>
  <c r="AF43" i="5"/>
  <c r="AO42" i="5"/>
  <c r="AN43" i="5"/>
  <c r="AF38" i="4"/>
  <c r="AI38" i="4" s="1"/>
  <c r="AL38" i="4"/>
  <c r="AH38" i="4"/>
  <c r="AD39" i="4"/>
  <c r="D47" i="3" l="1"/>
  <c r="BU43" i="5"/>
  <c r="D42" i="3" s="1"/>
  <c r="C47" i="3"/>
  <c r="BM43" i="5"/>
  <c r="C42" i="3" s="1"/>
  <c r="D46" i="3"/>
  <c r="AW43" i="5"/>
  <c r="D41" i="3" s="1"/>
  <c r="B47" i="3"/>
  <c r="BE43" i="5"/>
  <c r="B42" i="3" s="1"/>
  <c r="B45" i="3"/>
  <c r="I43" i="5"/>
  <c r="B40" i="3" s="1"/>
  <c r="C45" i="3"/>
  <c r="Q43" i="5"/>
  <c r="C40" i="3" s="1"/>
  <c r="D45" i="3"/>
  <c r="Y43" i="5"/>
  <c r="D40" i="3" s="1"/>
  <c r="B46" i="3"/>
  <c r="AG43" i="5"/>
  <c r="B41" i="3" s="1"/>
  <c r="C46" i="3"/>
  <c r="AO43" i="5"/>
  <c r="C41" i="3" s="1"/>
  <c r="AF39" i="4"/>
  <c r="AI39" i="4" s="1"/>
  <c r="AL39" i="4"/>
  <c r="AH39" i="4"/>
  <c r="AD40" i="4"/>
  <c r="AH40" i="4" l="1"/>
  <c r="AF40" i="4"/>
  <c r="AI40" i="4" s="1"/>
  <c r="AL40" i="4"/>
  <c r="AD41" i="4"/>
  <c r="B9" i="3" l="1"/>
  <c r="B10" i="3"/>
  <c r="AL41" i="4"/>
  <c r="AF41" i="4"/>
  <c r="AI41" i="4" s="1"/>
  <c r="B18" i="3" s="1"/>
  <c r="AH41" i="4"/>
  <c r="B16" i="3" s="1"/>
  <c r="B17" i="3" s="1"/>
  <c r="B1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rivonOS</author>
  </authors>
  <commentList>
    <comment ref="A5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Month 0: cash spent before the centre opens (capex, pre-opening costs, landlord deposit).</t>
        </r>
      </text>
    </comment>
  </commentList>
</comments>
</file>

<file path=xl/sharedStrings.xml><?xml version="1.0" encoding="utf-8"?>
<sst xmlns="http://schemas.openxmlformats.org/spreadsheetml/2006/main" count="339" uniqueCount="210">
  <si>
    <t>Coworking financial model for India</t>
  </si>
  <si>
    <t>A 36-month model for one coworking or managed office centre, in rupees.</t>
  </si>
  <si>
    <t>How to use it</t>
  </si>
  <si>
    <t>1. Open the Inputs sheet. Change the yellow cells with blue numbers to your own: area, seats, rent and lease terms, fit-out and furniture quotes, prices by product, how fast you expect to fill up, and running costs.</t>
  </si>
  <si>
    <t>2. Check that the product shares add up to 100% (the sheet tells you).</t>
  </si>
  <si>
    <t>3. Read the Summary: cash out before opening, peak cash needed, break-even occupancy, break-even month, payback month and years 1 to 3.</t>
  </si>
  <si>
    <t>4. Look at the sensitivity tables on the Summary to see what a 10% price change or 10 points of occupancy does to the result.</t>
  </si>
  <si>
    <t>5. Use the Monthly sheet to see each month: occupancy, seats sold, revenue, every cost line, EBITDA, cash in and out, and cumulative cash.</t>
  </si>
  <si>
    <t>Colours</t>
  </si>
  <si>
    <t>Blue numbers on yellow: inputs you change. Black: formulas. Green: values brought from another sheet. Do not type over formulas.</t>
  </si>
  <si>
    <t>Important</t>
  </si>
  <si>
    <t>Every default number is illustrative, made up to show how the model works. It is not a benchmark for any city, building or operator. Change it to your own numbers, from your landlord, contractors and price list.</t>
  </si>
  <si>
    <t>All figures are before GST unless stated. GST you charge members (usually 18%) is not your revenue, and input tax credit on rent and fit-out depends on your own GST position.</t>
  </si>
  <si>
    <t>Clients often deduct TDS (frequently 10%) from what they pay you. TDS is income tax paid in advance, not a cost, so the model leaves it out. It does reduce the cash that reaches your bank until you claim it back.</t>
  </si>
  <si>
    <t>EBITDA leaves out depreciation, interest on loans, income tax and head-office costs. 'Your money' leaves out deposits collected from members, because you must give them back.</t>
  </si>
  <si>
    <t>Month 1 is the first month the centre is open. Month 0 holds the cash spent before opening. Rent, price and cost increases apply every 12 months from opening.</t>
  </si>
  <si>
    <t>This model is a planning aid, not financial, investment, legal or tax advice. Check the results with your Chartered Accountant before you sign a lease or raise money.</t>
  </si>
  <si>
    <t>Sheets</t>
  </si>
  <si>
    <t>Inputs: everything you can change.   Summary: the results, year table, sensitivity and charts.   Monthly: the 36-month workings.   Sensitivity workings: the nine scenarios behind the sensitivity tables.</t>
  </si>
  <si>
    <t>Made by rivonOS, coworking space management software for India. Free to use and share. rivonos.com/tools/coworking-financial-model</t>
  </si>
  <si>
    <t>Inputs</t>
  </si>
  <si>
    <t>Change the yellow cells with blue numbers. Every default is illustrative: change it to your own numbers. All amounts in ₹, before GST.</t>
  </si>
  <si>
    <t>The space</t>
  </si>
  <si>
    <t>Area you pay rent on</t>
  </si>
  <si>
    <t>sq ft</t>
  </si>
  <si>
    <t>Illustrative, change to your own numbers. Chargeable area in the lease.</t>
  </si>
  <si>
    <t>Sellable seats</t>
  </si>
  <si>
    <t>seats</t>
  </si>
  <si>
    <t>Illustrative, change to your own numbers. Desks and cabin seats you can sell. 50 sq ft a seat here.</t>
  </si>
  <si>
    <t>Lease</t>
  </si>
  <si>
    <t>Rent</t>
  </si>
  <si>
    <t>₹ / sq ft / month</t>
  </si>
  <si>
    <t>Illustrative, change to your own numbers. Rent from the landlord, before GST.</t>
  </si>
  <si>
    <t>Common area maintenance (CAM)</t>
  </si>
  <si>
    <t>Illustrative, change to your own numbers. Paid from month 1, also in rent-free months.</t>
  </si>
  <si>
    <t>Rent-free months from opening</t>
  </si>
  <si>
    <t>months</t>
  </si>
  <si>
    <t>Illustrative, change to your own numbers. Months after opening with no rent. Rent-free time during fit-out is not counted here.</t>
  </si>
  <si>
    <t>Rent and CAM escalation</t>
  </si>
  <si>
    <t>a year</t>
  </si>
  <si>
    <t>Illustrative, change to your own numbers. Applied every 12 months from opening. Many leases use 15% every 3 years instead: enter about 5% a year.</t>
  </si>
  <si>
    <t>Security deposit to landlord</t>
  </si>
  <si>
    <t>months of rent</t>
  </si>
  <si>
    <t>Illustrative, change to your own numbers. Refundable at the end of the lease, but cash you can't use while it runs.</t>
  </si>
  <si>
    <t>Upfront, one time (paid before opening)</t>
  </si>
  <si>
    <t>Fit-out</t>
  </si>
  <si>
    <t>₹ / sq ft</t>
  </si>
  <si>
    <t>Illustrative, change to your own numbers. Interiors, electrical, HVAC, cabling, access control, branding.</t>
  </si>
  <si>
    <t>Furniture and IT</t>
  </si>
  <si>
    <t>₹ / seat</t>
  </si>
  <si>
    <t>Illustrative, change to your own numbers. Desks, chairs, storage, Wi-Fi, printers, meeting room AV.</t>
  </si>
  <si>
    <t>Pre-opening costs</t>
  </si>
  <si>
    <t>₹ total</t>
  </si>
  <si>
    <t>Illustrative, change to your own numbers. Broker fee, legal, launch marketing, hiring and training before opening.</t>
  </si>
  <si>
    <t>Price per seat by product mix (realised, after discounts)</t>
  </si>
  <si>
    <t>Product</t>
  </si>
  <si>
    <t>Share of seats</t>
  </si>
  <si>
    <t>Price ₹ / seat / month</t>
  </si>
  <si>
    <t>Illustrative, change to your own numbers. Use what members actually pay, not the list price.</t>
  </si>
  <si>
    <t>Hot desk</t>
  </si>
  <si>
    <t>Dedicated desk</t>
  </si>
  <si>
    <t>Private cabin seat</t>
  </si>
  <si>
    <t>Managed office seat</t>
  </si>
  <si>
    <t>Shares add up to</t>
  </si>
  <si>
    <t>Average price per occupied seat</t>
  </si>
  <si>
    <t>₹ / seat / month</t>
  </si>
  <si>
    <t>Weighted by the share of seats. Used for every month's revenue.</t>
  </si>
  <si>
    <t>Price increase</t>
  </si>
  <si>
    <t>Illustrative, change to your own numbers. Applied every 12 months from opening, on renewals and new deals.</t>
  </si>
  <si>
    <t>Members</t>
  </si>
  <si>
    <t>Deposit collected from members</t>
  </si>
  <si>
    <t>months of fees</t>
  </si>
  <si>
    <t>Illustrative, change to your own numbers. Refundable. Held as cash, but not counted as yours in payback.</t>
  </si>
  <si>
    <t>Days to collect an invoice</t>
  </si>
  <si>
    <t>days</t>
  </si>
  <si>
    <t>Illustrative, change to your own numbers. Average days from invoice to money in the bank. 0 to 60.</t>
  </si>
  <si>
    <t>Occupancy ramp</t>
  </si>
  <si>
    <t>Occupancy in month 1</t>
  </si>
  <si>
    <t>of seats</t>
  </si>
  <si>
    <t>Illustrative, change to your own numbers. Share of seats paying in the first month open.</t>
  </si>
  <si>
    <t>Stable occupancy</t>
  </si>
  <si>
    <t>Illustrative, change to your own numbers. The level the centre holds once full.</t>
  </si>
  <si>
    <t>Months to reach stable occupancy</t>
  </si>
  <si>
    <t>Illustrative, change to your own numbers. Rises in a straight line from month 1 to this month, then holds.</t>
  </si>
  <si>
    <t>Running costs a month (from month 1)</t>
  </si>
  <si>
    <t>Staff (centre manager, community, front desk, sales)</t>
  </si>
  <si>
    <t>₹ / month</t>
  </si>
  <si>
    <t>Illustrative, change to your own numbers. Salaries and benefits for the centre team.</t>
  </si>
  <si>
    <t>Electricity, water and DG power</t>
  </si>
  <si>
    <t>Illustrative, change to your own numbers. For the space you control.</t>
  </si>
  <si>
    <t>Housekeeping and security</t>
  </si>
  <si>
    <t>Illustrative, change to your own numbers. Contracts and supplies.</t>
  </si>
  <si>
    <t>Internet</t>
  </si>
  <si>
    <t>Illustrative, change to your own numbers. Lease lines and backup link.</t>
  </si>
  <si>
    <t>Marketing</t>
  </si>
  <si>
    <t>Illustrative, change to your own numbers. Listings, ads, broker relations, events.</t>
  </si>
  <si>
    <t>Software</t>
  </si>
  <si>
    <t>Illustrative, change to your own numbers. Workspace management, accounting, access control.</t>
  </si>
  <si>
    <t>Repairs and maintenance</t>
  </si>
  <si>
    <t>Illustrative, change to your own numbers. AMC for AC, DG, lifts in your area; small repairs.</t>
  </si>
  <si>
    <t>Other costs</t>
  </si>
  <si>
    <t>Illustrative, change to your own numbers. Insurance, bank charges, pantry for the team, travel.</t>
  </si>
  <si>
    <t>Running costs before variable costs</t>
  </si>
  <si>
    <t>Same as 'other fixed costs' in the setup cost calculator.</t>
  </si>
  <si>
    <t>Variable cost per occupied seat</t>
  </si>
  <si>
    <t>Illustrative, change to your own numbers. Consumables, pantry, desk power: costs that grow with members.</t>
  </si>
  <si>
    <t>Running cost increase</t>
  </si>
  <si>
    <t>Illustrative, change to your own numbers. Applied every 12 months to running and variable costs.</t>
  </si>
  <si>
    <t>Worked out from your inputs</t>
  </si>
  <si>
    <t>Fit-out cost</t>
  </si>
  <si>
    <t>₹</t>
  </si>
  <si>
    <t>Furniture and IT cost</t>
  </si>
  <si>
    <t>Capex (fit-out + furniture and IT)</t>
  </si>
  <si>
    <t>Rent a month (year 1, once rent starts)</t>
  </si>
  <si>
    <t>Months of year-1 rent. Top-ups on escalation are left out.</t>
  </si>
  <si>
    <t>Cash out before opening</t>
  </si>
  <si>
    <t>Capex + pre-opening costs + landlord deposit.</t>
  </si>
  <si>
    <t>Summary</t>
  </si>
  <si>
    <t>Results from the Inputs sheet. Illustrative defaults: change the inputs to your own numbers. ₹, before GST.</t>
  </si>
  <si>
    <t>Money needed</t>
  </si>
  <si>
    <t>Refundable at the end of the lease</t>
  </si>
  <si>
    <t>Peak cash needed</t>
  </si>
  <si>
    <t>Includes losses while the centre fills</t>
  </si>
  <si>
    <t>Month of peak cash need</t>
  </si>
  <si>
    <t>When it pays</t>
  </si>
  <si>
    <t>Break-even occupancy (year 1 costs)</t>
  </si>
  <si>
    <t>Covers rent, CAM and running costs</t>
  </si>
  <si>
    <t>Seats needed to break even</t>
  </si>
  <si>
    <t>Break-even month</t>
  </si>
  <si>
    <t>EBITDA stays at zero or above from here</t>
  </si>
  <si>
    <t>Payback month</t>
  </si>
  <si>
    <t>Landlord deposit included</t>
  </si>
  <si>
    <t>Estimated payback if after month 36</t>
  </si>
  <si>
    <t>If month 36 cash flow carries on</t>
  </si>
  <si>
    <t>Payback month without the landlord deposit</t>
  </si>
  <si>
    <t>Cumulative cash at month 36 (your money)</t>
  </si>
  <si>
    <t>Member deposits held at month 36</t>
  </si>
  <si>
    <t>Refundable, so kept out of payback</t>
  </si>
  <si>
    <t>Year by year</t>
  </si>
  <si>
    <t>₹, before GST</t>
  </si>
  <si>
    <t>Year 1</t>
  </si>
  <si>
    <t>Year 2</t>
  </si>
  <si>
    <t>Year 3</t>
  </si>
  <si>
    <t>Average occupancy</t>
  </si>
  <si>
    <t>Revenue</t>
  </si>
  <si>
    <t>Rent and CAM</t>
  </si>
  <si>
    <t>Other running costs</t>
  </si>
  <si>
    <t>EBITDA</t>
  </si>
  <si>
    <t>EBITDA margin</t>
  </si>
  <si>
    <t>EBITDA here is before depreciation, interest and income tax. Pre-opening costs are in cash (month 0), not in year 1 EBITDA.</t>
  </si>
  <si>
    <t>Sensitivity: price and stable occupancy</t>
  </si>
  <si>
    <t>Each cell reruns all 36 months with the change shown. The middle cell is the model as entered.</t>
  </si>
  <si>
    <t>Year 3 EBITDA</t>
  </si>
  <si>
    <t>Price −10%</t>
  </si>
  <si>
    <t>Price as entered</t>
  </si>
  <si>
    <t>Price +10%</t>
  </si>
  <si>
    <t>Stable occupancy −10 points</t>
  </si>
  <si>
    <t>Stable occupancy as entered</t>
  </si>
  <si>
    <t>Stable occupancy +10 points</t>
  </si>
  <si>
    <t>Stable occupancy is capped at 0% and 100%. 'About' is an estimate beyond month 36, assuming month 36's cash flow carries on.</t>
  </si>
  <si>
    <t>rivonOS · rivonos.com/tools/coworking-financial-model</t>
  </si>
  <si>
    <t>Monthly: 36 months from opening</t>
  </si>
  <si>
    <t>All formulas, nothing to type here. Month 0 is the cash spent before opening. Amounts in ₹, before GST. 'Your money' leaves out deposits held for members, because you must return them.</t>
  </si>
  <si>
    <t>Sales</t>
  </si>
  <si>
    <t>Running costs and EBITDA</t>
  </si>
  <si>
    <t>Cash</t>
  </si>
  <si>
    <t>Helpers for the summary</t>
  </si>
  <si>
    <t>Chart data</t>
  </si>
  <si>
    <t>Month</t>
  </si>
  <si>
    <t>Year</t>
  </si>
  <si>
    <t>Occupancy</t>
  </si>
  <si>
    <t>Seats sold</t>
  </si>
  <si>
    <t>Price per seat</t>
  </si>
  <si>
    <t>CAM</t>
  </si>
  <si>
    <t>Staff</t>
  </si>
  <si>
    <t>Electricity and water</t>
  </si>
  <si>
    <t>Variable cost per seat</t>
  </si>
  <si>
    <t>Variable costs</t>
  </si>
  <si>
    <t>Total running costs</t>
  </si>
  <si>
    <t>Cash collected from members</t>
  </si>
  <si>
    <t>Running costs paid</t>
  </si>
  <si>
    <t>Capex and pre-opening</t>
  </si>
  <si>
    <t>Deposit paid to landlord</t>
  </si>
  <si>
    <t>Net cash, before member deposits</t>
  </si>
  <si>
    <t>Member deposits held</t>
  </si>
  <si>
    <t>Change in member deposits</t>
  </si>
  <si>
    <t>Net cash, all flows</t>
  </si>
  <si>
    <t>Cumulative cash (your money)</t>
  </si>
  <si>
    <t>Cumulative cash, all flows</t>
  </si>
  <si>
    <t>Cumulative cash, without landlord deposit</t>
  </si>
  <si>
    <t>EBITDA positive from here on (month)</t>
  </si>
  <si>
    <t>Paid back (month)</t>
  </si>
  <si>
    <t>Paid back without landlord deposit (month)</t>
  </si>
  <si>
    <t>Revenue, ₹ lakh</t>
  </si>
  <si>
    <t>Running costs, ₹ lakh</t>
  </si>
  <si>
    <t>Cumulative cash (your money), ₹ lakh</t>
  </si>
  <si>
    <t>Formulas: Revenue = seats sold × price per seat. Seats sold = sellable seats × occupancy, rounded down. EBITDA = revenue − running costs. Cash collected uses the collection days. Cumulative cash (your money) = all cash in and out except deposits held for members.</t>
  </si>
  <si>
    <t>Sensitivity workings: nine versions of the model</t>
  </si>
  <si>
    <t>Each block reruns the monthly numbers with the price and stable occupancy changed. The Summary shows the results. Nothing to type here.</t>
  </si>
  <si>
    <t>Price -10%, stable occupancy -10 points</t>
  </si>
  <si>
    <t>Price as entered, stable occupancy -10 points</t>
  </si>
  <si>
    <t>Price +10%, stable occupancy -10 points</t>
  </si>
  <si>
    <t>Price -10%, stable occupancy as entered</t>
  </si>
  <si>
    <t>Price as entered, stable occupancy as entered</t>
  </si>
  <si>
    <t>Price +10%, stable occupancy as entered</t>
  </si>
  <si>
    <t>Price -10%, stable occupancy +10 points</t>
  </si>
  <si>
    <t>Price as entered, stable occupancy +10 points</t>
  </si>
  <si>
    <t>Price +10%, stable occupancy +10 points</t>
  </si>
  <si>
    <t>Price factor</t>
  </si>
  <si>
    <t>Cash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</si>
</sst>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[&gt;=10000000]&quot;₹&quot;##\,##\,##\,##0;[&gt;=100000]&quot;₹&quot;##\,##\,##0;&quot;₹&quot;#,##0"/>
    <numFmt numFmtId="166" formatCode="0.0"/>
    <numFmt numFmtId="167" formatCode="&quot;Month &quot;0"/>
  </numFmts>
  <fonts count="13" x14ac:knownFonts="1">
    <font>
      <sz val="11"/>
      <color theme="1"/>
      <name val="Calibri"/>
      <family val="2"/>
      <scheme val="minor"/>
    </font>
    <font>
      <b/>
      <sz val="16"/>
      <color rgb="FF0E1024"/>
      <name val="Arial"/>
      <family val="2"/>
    </font>
    <font>
      <i/>
      <sz val="9"/>
      <color rgb="FF6B6E86"/>
      <name val="Arial"/>
      <family val="2"/>
    </font>
    <font>
      <b/>
      <sz val="11"/>
      <color rgb="FFFFFFFF"/>
      <name val="Arial"/>
      <family val="2"/>
    </font>
    <font>
      <sz val="10"/>
      <color rgb="FF0E1024"/>
      <name val="Arial"/>
      <family val="2"/>
    </font>
    <font>
      <sz val="10"/>
      <color rgb="FF0000FF"/>
      <name val="Arial"/>
      <family val="2"/>
    </font>
    <font>
      <sz val="9"/>
      <color rgb="FF6B6E86"/>
      <name val="Arial"/>
      <family val="2"/>
    </font>
    <font>
      <b/>
      <sz val="10"/>
      <color rgb="FF0E1024"/>
      <name val="Arial"/>
      <family val="2"/>
    </font>
    <font>
      <b/>
      <sz val="9"/>
      <color rgb="FFFFFFFF"/>
      <name val="Arial"/>
      <family val="2"/>
    </font>
    <font>
      <b/>
      <sz val="11"/>
      <color rgb="FF1800AD"/>
      <name val="Arial"/>
      <family val="2"/>
    </font>
    <font>
      <sz val="10"/>
      <color rgb="FF008000"/>
      <name val="Arial"/>
      <family val="2"/>
    </font>
    <font>
      <b/>
      <sz val="10"/>
      <color rgb="FF008000"/>
      <name val="Arial"/>
      <family val="2"/>
    </font>
    <font>
      <sz val="8"/>
      <color rgb="FF6B6E8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800AD"/>
      </patternFill>
    </fill>
    <fill>
      <patternFill patternType="solid">
        <fgColor rgb="FFFFF8CC"/>
      </patternFill>
    </fill>
    <fill>
      <patternFill patternType="solid">
        <fgColor rgb="FFF5F6FA"/>
      </patternFill>
    </fill>
    <fill>
      <patternFill patternType="solid">
        <fgColor rgb="FFE8E9F8"/>
      </patternFill>
    </fill>
  </fills>
  <borders count="2">
    <border>
      <left/>
      <right/>
      <top/>
      <bottom/>
      <diagonal/>
    </border>
    <border>
      <left style="thin">
        <color rgb="FFC9CCDB"/>
      </left>
      <right style="thin">
        <color rgb="FFC9CCDB"/>
      </right>
      <top style="thin">
        <color rgb="FFC9CCDB"/>
      </top>
      <bottom style="thin">
        <color rgb="FFC9CCDB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 applyAlignment="1">
      <alignment vertical="top" wrapText="1"/>
    </xf>
    <xf numFmtId="3" fontId="5" fillId="3" borderId="1" xfId="0" applyNumberFormat="1" applyFont="1" applyFill="1" applyBorder="1"/>
    <xf numFmtId="0" fontId="6" fillId="0" borderId="1" xfId="0" applyFont="1" applyBorder="1"/>
    <xf numFmtId="1" fontId="5" fillId="3" borderId="1" xfId="0" applyNumberFormat="1" applyFon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0" fontId="7" fillId="4" borderId="1" xfId="0" applyFont="1" applyFill="1" applyBorder="1"/>
    <xf numFmtId="0" fontId="7" fillId="4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9" fontId="5" fillId="3" borderId="1" xfId="0" applyNumberFormat="1" applyFont="1" applyFill="1" applyBorder="1"/>
    <xf numFmtId="9" fontId="7" fillId="4" borderId="1" xfId="0" applyNumberFormat="1" applyFont="1" applyFill="1" applyBorder="1"/>
    <xf numFmtId="0" fontId="6" fillId="4" borderId="1" xfId="0" applyFont="1" applyFill="1" applyBorder="1"/>
    <xf numFmtId="165" fontId="7" fillId="4" borderId="1" xfId="0" applyNumberFormat="1" applyFont="1" applyFill="1" applyBorder="1"/>
    <xf numFmtId="165" fontId="4" fillId="0" borderId="1" xfId="0" applyNumberFormat="1" applyFont="1" applyBorder="1" applyAlignment="1">
      <alignment horizontal="right" vertical="center"/>
    </xf>
    <xf numFmtId="0" fontId="7" fillId="0" borderId="1" xfId="0" applyFont="1" applyBorder="1"/>
    <xf numFmtId="165" fontId="7" fillId="0" borderId="1" xfId="0" applyNumberFormat="1" applyFont="1" applyBorder="1" applyAlignment="1">
      <alignment horizontal="right" vertical="center"/>
    </xf>
    <xf numFmtId="0" fontId="7" fillId="5" borderId="1" xfId="0" applyFont="1" applyFill="1" applyBorder="1"/>
    <xf numFmtId="165" fontId="7" fillId="5" borderId="1" xfId="0" applyNumberFormat="1" applyFont="1" applyFill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/>
    </xf>
    <xf numFmtId="164" fontId="7" fillId="5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7" fontId="7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/>
    <xf numFmtId="164" fontId="4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5" fontId="10" fillId="0" borderId="1" xfId="0" applyNumberFormat="1" applyFont="1" applyBorder="1" applyAlignment="1">
      <alignment horizontal="right" vertical="center"/>
    </xf>
    <xf numFmtId="165" fontId="11" fillId="5" borderId="1" xfId="0" applyNumberFormat="1" applyFont="1" applyFill="1" applyBorder="1" applyAlignment="1">
      <alignment horizontal="right" vertical="center"/>
    </xf>
    <xf numFmtId="167" fontId="10" fillId="0" borderId="1" xfId="0" applyNumberFormat="1" applyFont="1" applyBorder="1" applyAlignment="1">
      <alignment horizontal="right" vertical="center"/>
    </xf>
    <xf numFmtId="167" fontId="11" fillId="5" borderId="1" xfId="0" applyNumberFormat="1" applyFont="1" applyFill="1" applyBorder="1" applyAlignment="1">
      <alignment horizontal="right" vertical="center"/>
    </xf>
    <xf numFmtId="0" fontId="12" fillId="0" borderId="0" xfId="0" applyFont="1"/>
    <xf numFmtId="0" fontId="8" fillId="2" borderId="1" xfId="0" applyFont="1" applyFill="1" applyBorder="1" applyAlignment="1">
      <alignment horizontal="center" vertical="center" wrapText="1"/>
    </xf>
    <xf numFmtId="1" fontId="7" fillId="4" borderId="1" xfId="0" applyNumberFormat="1" applyFont="1" applyFill="1" applyBorder="1"/>
    <xf numFmtId="1" fontId="4" fillId="4" borderId="1" xfId="0" applyNumberFormat="1" applyFont="1" applyFill="1" applyBorder="1"/>
    <xf numFmtId="164" fontId="4" fillId="4" borderId="1" xfId="0" applyNumberFormat="1" applyFont="1" applyFill="1" applyBorder="1"/>
    <xf numFmtId="3" fontId="4" fillId="4" borderId="1" xfId="0" applyNumberFormat="1" applyFont="1" applyFill="1" applyBorder="1"/>
    <xf numFmtId="165" fontId="4" fillId="4" borderId="1" xfId="0" applyNumberFormat="1" applyFont="1" applyFill="1" applyBorder="1"/>
    <xf numFmtId="166" fontId="4" fillId="4" borderId="1" xfId="0" applyNumberFormat="1" applyFont="1" applyFill="1" applyBorder="1"/>
    <xf numFmtId="1" fontId="7" fillId="0" borderId="1" xfId="0" applyNumberFormat="1" applyFont="1" applyBorder="1"/>
    <xf numFmtId="1" fontId="4" fillId="0" borderId="1" xfId="0" applyNumberFormat="1" applyFont="1" applyBorder="1"/>
    <xf numFmtId="164" fontId="4" fillId="0" borderId="1" xfId="0" applyNumberFormat="1" applyFont="1" applyBorder="1"/>
    <xf numFmtId="3" fontId="4" fillId="0" borderId="1" xfId="0" applyNumberFormat="1" applyFont="1" applyBorder="1"/>
    <xf numFmtId="165" fontId="4" fillId="0" borderId="1" xfId="0" applyNumberFormat="1" applyFont="1" applyBorder="1"/>
    <xf numFmtId="165" fontId="7" fillId="0" borderId="1" xfId="0" applyNumberFormat="1" applyFont="1" applyBorder="1"/>
    <xf numFmtId="166" fontId="4" fillId="0" borderId="1" xfId="0" applyNumberFormat="1" applyFont="1" applyBorder="1"/>
    <xf numFmtId="0" fontId="4" fillId="0" borderId="0" xfId="0" applyFont="1"/>
    <xf numFmtId="2" fontId="5" fillId="3" borderId="1" xfId="0" applyNumberFormat="1" applyFont="1" applyFill="1" applyBorder="1"/>
    <xf numFmtId="9" fontId="4" fillId="0" borderId="1" xfId="0" applyNumberFormat="1" applyFont="1" applyBorder="1"/>
    <xf numFmtId="1" fontId="10" fillId="0" borderId="1" xfId="0" applyNumberFormat="1" applyFont="1" applyBorder="1"/>
    <xf numFmtId="0" fontId="2" fillId="0" borderId="1" xfId="0" applyFont="1" applyBorder="1" applyAlignment="1">
      <alignment vertical="top" wrapText="1"/>
    </xf>
    <xf numFmtId="0" fontId="0" fillId="0" borderId="0" xfId="0"/>
    <xf numFmtId="0" fontId="2" fillId="4" borderId="1" xfId="0" applyFont="1" applyFill="1" applyBorder="1" applyAlignment="1">
      <alignment vertical="top"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9" fillId="4" borderId="0" xfId="0" applyFont="1" applyFill="1" applyAlignment="1">
      <alignment horizontal="left"/>
    </xf>
    <xf numFmtId="0" fontId="9" fillId="4" borderId="0" xfId="0" applyFont="1" applyFill="1"/>
  </cellXfs>
  <cellStyles count="1">
    <cellStyle name="Normal" xfId="0" builtinId="0"/>
  </cellStyles>
  <dxfs count="32">
    <dxf>
      <numFmt numFmtId="168" formatCode="&quot;₹&quot;##\,##\,##\,##0"/>
    </dxf>
    <dxf>
      <numFmt numFmtId="169" formatCode="&quot;₹&quot;##\,##\,##0"/>
    </dxf>
    <dxf>
      <numFmt numFmtId="168" formatCode="&quot;₹&quot;##\,##\,##\,##0"/>
    </dxf>
    <dxf>
      <numFmt numFmtId="169" formatCode="&quot;₹&quot;##\,##\,##0"/>
    </dxf>
    <dxf>
      <numFmt numFmtId="168" formatCode="&quot;₹&quot;##\,##\,##\,##0"/>
    </dxf>
    <dxf>
      <numFmt numFmtId="169" formatCode="&quot;₹&quot;##\,##\,##0"/>
    </dxf>
    <dxf>
      <numFmt numFmtId="168" formatCode="&quot;₹&quot;##\,##\,##\,##0"/>
    </dxf>
    <dxf>
      <numFmt numFmtId="169" formatCode="&quot;₹&quot;##\,##\,##0"/>
    </dxf>
    <dxf>
      <numFmt numFmtId="168" formatCode="&quot;₹&quot;##\,##\,##\,##0"/>
    </dxf>
    <dxf>
      <numFmt numFmtId="169" formatCode="&quot;₹&quot;##\,##\,##0"/>
    </dxf>
    <dxf>
      <numFmt numFmtId="169" formatCode="&quot;₹&quot;##\,##\,##0"/>
    </dxf>
    <dxf>
      <numFmt numFmtId="168" formatCode="&quot;₹&quot;##\,##\,##\,##0"/>
    </dxf>
    <dxf>
      <numFmt numFmtId="169" formatCode="&quot;₹&quot;##\,##\,##0"/>
    </dxf>
    <dxf>
      <numFmt numFmtId="168" formatCode="&quot;₹&quot;##\,##\,##\,##0"/>
    </dxf>
    <dxf>
      <numFmt numFmtId="169" formatCode="&quot;₹&quot;##\,##\,##0"/>
    </dxf>
    <dxf>
      <numFmt numFmtId="168" formatCode="&quot;₹&quot;##\,##\,##\,##0"/>
    </dxf>
    <dxf>
      <numFmt numFmtId="168" formatCode="&quot;₹&quot;##\,##\,##\,##0"/>
    </dxf>
    <dxf>
      <numFmt numFmtId="169" formatCode="&quot;₹&quot;##\,##\,##0"/>
    </dxf>
    <dxf>
      <numFmt numFmtId="168" formatCode="&quot;₹&quot;##\,##\,##\,##0"/>
    </dxf>
    <dxf>
      <numFmt numFmtId="169" formatCode="&quot;₹&quot;##\,##\,##0"/>
    </dxf>
    <dxf>
      <numFmt numFmtId="169" formatCode="&quot;₹&quot;##\,##\,##0"/>
    </dxf>
    <dxf>
      <numFmt numFmtId="168" formatCode="&quot;₹&quot;##\,##\,##\,##0"/>
    </dxf>
    <dxf>
      <numFmt numFmtId="168" formatCode="&quot;₹&quot;##\,##\,##\,##0"/>
    </dxf>
    <dxf>
      <numFmt numFmtId="169" formatCode="&quot;₹&quot;##\,##\,##0"/>
    </dxf>
    <dxf>
      <numFmt numFmtId="168" formatCode="&quot;₹&quot;##\,##\,##\,##0"/>
    </dxf>
    <dxf>
      <numFmt numFmtId="169" formatCode="&quot;₹&quot;##\,##\,##0"/>
    </dxf>
    <dxf>
      <numFmt numFmtId="168" formatCode="&quot;₹&quot;##\,##\,##\,##0"/>
    </dxf>
    <dxf>
      <numFmt numFmtId="169" formatCode="&quot;₹&quot;##\,##\,##0"/>
    </dxf>
    <dxf>
      <numFmt numFmtId="169" formatCode="&quot;₹&quot;##\,##\,##0"/>
    </dxf>
    <dxf>
      <numFmt numFmtId="168" formatCode="&quot;₹&quot;##\,##\,##\,##0"/>
    </dxf>
    <dxf>
      <numFmt numFmtId="168" formatCode="&quot;₹&quot;##\,##\,##\,##0"/>
    </dxf>
    <dxf>
      <numFmt numFmtId="169" formatCode="&quot;₹&quot;##\,##\,##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t>Cumulative cash (your money), ₹ lakh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Monthly!$AL$4</c:f>
              <c:strCache>
                <c:ptCount val="1"/>
                <c:pt idx="0">
                  <c:v>Cumulative cash (your money), ₹ lakh</c:v>
                </c:pt>
              </c:strCache>
            </c:strRef>
          </c:tx>
          <c:spPr>
            <a:ln w="28000">
              <a:solidFill>
                <a:srgbClr val="1800AD"/>
              </a:solidFill>
              <a:prstDash val="solid"/>
            </a:ln>
          </c:spPr>
          <c:marker>
            <c:symbol val="none"/>
          </c:marker>
          <c:cat>
            <c:numRef>
              <c:f>Monthly!$A$5:$A$41</c:f>
              <c:numCache>
                <c:formatCode>0</c:formatCode>
                <c:ptCount val="3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</c:numCache>
            </c:numRef>
          </c:cat>
          <c:val>
            <c:numRef>
              <c:f>Monthly!$AL$5:$AL$41</c:f>
              <c:numCache>
                <c:formatCode>0.0</c:formatCode>
                <c:ptCount val="37"/>
                <c:pt idx="0">
                  <c:v>-229</c:v>
                </c:pt>
                <c:pt idx="1">
                  <c:v>-230.95</c:v>
                </c:pt>
                <c:pt idx="2">
                  <c:v>-229.45</c:v>
                </c:pt>
                <c:pt idx="3">
                  <c:v>-233.35499999999999</c:v>
                </c:pt>
                <c:pt idx="4">
                  <c:v>-236.10499999999999</c:v>
                </c:pt>
                <c:pt idx="5">
                  <c:v>-237.7</c:v>
                </c:pt>
                <c:pt idx="6">
                  <c:v>-238.14</c:v>
                </c:pt>
                <c:pt idx="7">
                  <c:v>-237.42500000000001</c:v>
                </c:pt>
                <c:pt idx="8">
                  <c:v>-235.55500000000001</c:v>
                </c:pt>
                <c:pt idx="9">
                  <c:v>-232.53</c:v>
                </c:pt>
                <c:pt idx="10">
                  <c:v>-228.35</c:v>
                </c:pt>
                <c:pt idx="11">
                  <c:v>-223.01499999999999</c:v>
                </c:pt>
                <c:pt idx="12">
                  <c:v>-216.52500000000001</c:v>
                </c:pt>
                <c:pt idx="13">
                  <c:v>-209.5275</c:v>
                </c:pt>
                <c:pt idx="14">
                  <c:v>-202.02</c:v>
                </c:pt>
                <c:pt idx="15">
                  <c:v>-194.51249999999999</c:v>
                </c:pt>
                <c:pt idx="16">
                  <c:v>-187.005</c:v>
                </c:pt>
                <c:pt idx="17">
                  <c:v>-179.4975</c:v>
                </c:pt>
                <c:pt idx="18">
                  <c:v>-171.99</c:v>
                </c:pt>
                <c:pt idx="19">
                  <c:v>-164.48249999999999</c:v>
                </c:pt>
                <c:pt idx="20">
                  <c:v>-156.97499999999999</c:v>
                </c:pt>
                <c:pt idx="21">
                  <c:v>-149.4675</c:v>
                </c:pt>
                <c:pt idx="22">
                  <c:v>-141.96</c:v>
                </c:pt>
                <c:pt idx="23">
                  <c:v>-134.45249999999999</c:v>
                </c:pt>
                <c:pt idx="24">
                  <c:v>-126.94499999999999</c:v>
                </c:pt>
                <c:pt idx="25">
                  <c:v>-119.59762499999999</c:v>
                </c:pt>
                <c:pt idx="26">
                  <c:v>-111.71475</c:v>
                </c:pt>
                <c:pt idx="27">
                  <c:v>-103.831875</c:v>
                </c:pt>
                <c:pt idx="28">
                  <c:v>-95.948999999999998</c:v>
                </c:pt>
                <c:pt idx="29">
                  <c:v>-88.066125</c:v>
                </c:pt>
                <c:pt idx="30">
                  <c:v>-80.183250000000001</c:v>
                </c:pt>
                <c:pt idx="31">
                  <c:v>-72.300375000000003</c:v>
                </c:pt>
                <c:pt idx="32">
                  <c:v>-64.417500000000004</c:v>
                </c:pt>
                <c:pt idx="33">
                  <c:v>-56.534624999999998</c:v>
                </c:pt>
                <c:pt idx="34">
                  <c:v>-48.65175</c:v>
                </c:pt>
                <c:pt idx="35">
                  <c:v>-40.768875000000001</c:v>
                </c:pt>
                <c:pt idx="36">
                  <c:v>-32.886000000000003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5E-A543-A17B-BCA5370CA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6"/>
        <c:tickMarkSkip val="6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t>Revenue and running costs a month, ₹ lakh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Monthly!$AJ$4</c:f>
              <c:strCache>
                <c:ptCount val="1"/>
                <c:pt idx="0">
                  <c:v>Revenue, ₹ lakh</c:v>
                </c:pt>
              </c:strCache>
            </c:strRef>
          </c:tx>
          <c:spPr>
            <a:ln w="28000">
              <a:solidFill>
                <a:srgbClr val="1800AD"/>
              </a:solidFill>
              <a:prstDash val="solid"/>
            </a:ln>
          </c:spPr>
          <c:marker>
            <c:symbol val="none"/>
          </c:marker>
          <c:cat>
            <c:numRef>
              <c:f>Monthly!$A$5:$A$41</c:f>
              <c:numCache>
                <c:formatCode>0</c:formatCode>
                <c:ptCount val="3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</c:numCache>
            </c:numRef>
          </c:cat>
          <c:val>
            <c:numRef>
              <c:f>Monthly!$AJ$5:$AJ$41</c:f>
              <c:numCache>
                <c:formatCode>0.0</c:formatCode>
                <c:ptCount val="37"/>
                <c:pt idx="0">
                  <c:v>0</c:v>
                </c:pt>
                <c:pt idx="1">
                  <c:v>6</c:v>
                </c:pt>
                <c:pt idx="2">
                  <c:v>7.2</c:v>
                </c:pt>
                <c:pt idx="3">
                  <c:v>8.52</c:v>
                </c:pt>
                <c:pt idx="4">
                  <c:v>9.84</c:v>
                </c:pt>
                <c:pt idx="5">
                  <c:v>11.16</c:v>
                </c:pt>
                <c:pt idx="6">
                  <c:v>12.48</c:v>
                </c:pt>
                <c:pt idx="7">
                  <c:v>13.8</c:v>
                </c:pt>
                <c:pt idx="8">
                  <c:v>15.12</c:v>
                </c:pt>
                <c:pt idx="9">
                  <c:v>16.440000000000001</c:v>
                </c:pt>
                <c:pt idx="10">
                  <c:v>17.760000000000002</c:v>
                </c:pt>
                <c:pt idx="11">
                  <c:v>19.079999999999998</c:v>
                </c:pt>
                <c:pt idx="12">
                  <c:v>20.399999999999999</c:v>
                </c:pt>
                <c:pt idx="13">
                  <c:v>21.42</c:v>
                </c:pt>
                <c:pt idx="14">
                  <c:v>21.42</c:v>
                </c:pt>
                <c:pt idx="15">
                  <c:v>21.42</c:v>
                </c:pt>
                <c:pt idx="16">
                  <c:v>21.42</c:v>
                </c:pt>
                <c:pt idx="17">
                  <c:v>21.42</c:v>
                </c:pt>
                <c:pt idx="18">
                  <c:v>21.42</c:v>
                </c:pt>
                <c:pt idx="19">
                  <c:v>21.42</c:v>
                </c:pt>
                <c:pt idx="20">
                  <c:v>21.42</c:v>
                </c:pt>
                <c:pt idx="21">
                  <c:v>21.42</c:v>
                </c:pt>
                <c:pt idx="22">
                  <c:v>21.42</c:v>
                </c:pt>
                <c:pt idx="23">
                  <c:v>21.42</c:v>
                </c:pt>
                <c:pt idx="24">
                  <c:v>21.42</c:v>
                </c:pt>
                <c:pt idx="25">
                  <c:v>22.491</c:v>
                </c:pt>
                <c:pt idx="26">
                  <c:v>22.491</c:v>
                </c:pt>
                <c:pt idx="27">
                  <c:v>22.491</c:v>
                </c:pt>
                <c:pt idx="28">
                  <c:v>22.491</c:v>
                </c:pt>
                <c:pt idx="29">
                  <c:v>22.491</c:v>
                </c:pt>
                <c:pt idx="30">
                  <c:v>22.491</c:v>
                </c:pt>
                <c:pt idx="31">
                  <c:v>22.491</c:v>
                </c:pt>
                <c:pt idx="32">
                  <c:v>22.491</c:v>
                </c:pt>
                <c:pt idx="33">
                  <c:v>22.491</c:v>
                </c:pt>
                <c:pt idx="34">
                  <c:v>22.491</c:v>
                </c:pt>
                <c:pt idx="35">
                  <c:v>22.491</c:v>
                </c:pt>
                <c:pt idx="36">
                  <c:v>22.491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53-434C-98CF-8BEDB0ACE303}"/>
            </c:ext>
          </c:extLst>
        </c:ser>
        <c:ser>
          <c:idx val="1"/>
          <c:order val="1"/>
          <c:tx>
            <c:strRef>
              <c:f>Monthly!$AK$4</c:f>
              <c:strCache>
                <c:ptCount val="1"/>
                <c:pt idx="0">
                  <c:v>Running costs, ₹ lakh</c:v>
                </c:pt>
              </c:strCache>
            </c:strRef>
          </c:tx>
          <c:spPr>
            <a:ln w="28000">
              <a:solidFill>
                <a:srgbClr val="D0661E"/>
              </a:solidFill>
              <a:prstDash val="solid"/>
            </a:ln>
          </c:spPr>
          <c:marker>
            <c:symbol val="none"/>
          </c:marker>
          <c:cat>
            <c:numRef>
              <c:f>Monthly!$A$5:$A$41</c:f>
              <c:numCache>
                <c:formatCode>0</c:formatCode>
                <c:ptCount val="3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</c:numCache>
            </c:numRef>
          </c:cat>
          <c:val>
            <c:numRef>
              <c:f>Monthly!$AK$5:$AK$41</c:f>
              <c:numCache>
                <c:formatCode>0.0</c:formatCode>
                <c:ptCount val="37"/>
                <c:pt idx="0">
                  <c:v>0</c:v>
                </c:pt>
                <c:pt idx="1">
                  <c:v>4.95</c:v>
                </c:pt>
                <c:pt idx="2">
                  <c:v>5.0999999999999996</c:v>
                </c:pt>
                <c:pt idx="3">
                  <c:v>11.765000000000001</c:v>
                </c:pt>
                <c:pt idx="4">
                  <c:v>11.93</c:v>
                </c:pt>
                <c:pt idx="5">
                  <c:v>12.095000000000001</c:v>
                </c:pt>
                <c:pt idx="6">
                  <c:v>12.26</c:v>
                </c:pt>
                <c:pt idx="7">
                  <c:v>12.425000000000001</c:v>
                </c:pt>
                <c:pt idx="8">
                  <c:v>12.59</c:v>
                </c:pt>
                <c:pt idx="9">
                  <c:v>12.755000000000001</c:v>
                </c:pt>
                <c:pt idx="10">
                  <c:v>12.92</c:v>
                </c:pt>
                <c:pt idx="11">
                  <c:v>13.085000000000001</c:v>
                </c:pt>
                <c:pt idx="12">
                  <c:v>13.25</c:v>
                </c:pt>
                <c:pt idx="13">
                  <c:v>13.9125</c:v>
                </c:pt>
                <c:pt idx="14">
                  <c:v>13.9125</c:v>
                </c:pt>
                <c:pt idx="15">
                  <c:v>13.9125</c:v>
                </c:pt>
                <c:pt idx="16">
                  <c:v>13.9125</c:v>
                </c:pt>
                <c:pt idx="17">
                  <c:v>13.9125</c:v>
                </c:pt>
                <c:pt idx="18">
                  <c:v>13.9125</c:v>
                </c:pt>
                <c:pt idx="19">
                  <c:v>13.9125</c:v>
                </c:pt>
                <c:pt idx="20">
                  <c:v>13.9125</c:v>
                </c:pt>
                <c:pt idx="21">
                  <c:v>13.9125</c:v>
                </c:pt>
                <c:pt idx="22">
                  <c:v>13.9125</c:v>
                </c:pt>
                <c:pt idx="23">
                  <c:v>13.9125</c:v>
                </c:pt>
                <c:pt idx="24">
                  <c:v>13.9125</c:v>
                </c:pt>
                <c:pt idx="25">
                  <c:v>14.608124999999999</c:v>
                </c:pt>
                <c:pt idx="26">
                  <c:v>14.608124999999999</c:v>
                </c:pt>
                <c:pt idx="27">
                  <c:v>14.608124999999999</c:v>
                </c:pt>
                <c:pt idx="28">
                  <c:v>14.608124999999999</c:v>
                </c:pt>
                <c:pt idx="29">
                  <c:v>14.608124999999999</c:v>
                </c:pt>
                <c:pt idx="30">
                  <c:v>14.608124999999999</c:v>
                </c:pt>
                <c:pt idx="31">
                  <c:v>14.608124999999999</c:v>
                </c:pt>
                <c:pt idx="32">
                  <c:v>14.608124999999999</c:v>
                </c:pt>
                <c:pt idx="33">
                  <c:v>14.608124999999999</c:v>
                </c:pt>
                <c:pt idx="34">
                  <c:v>14.608124999999999</c:v>
                </c:pt>
                <c:pt idx="35">
                  <c:v>14.608124999999999</c:v>
                </c:pt>
                <c:pt idx="36">
                  <c:v>14.608124999999999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53-434C-98CF-8BEDB0ACE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6"/>
        <c:tickMarkSkip val="6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3</xdr:row>
      <xdr:rowOff>0</xdr:rowOff>
    </xdr:from>
    <xdr:ext cx="486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20</xdr:row>
      <xdr:rowOff>0</xdr:rowOff>
    </xdr:from>
    <xdr:ext cx="486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26"/>
  <sheetViews>
    <sheetView showGridLines="0" tabSelected="1" workbookViewId="0"/>
  </sheetViews>
  <sheetFormatPr baseColWidth="10" defaultColWidth="8.83203125" defaultRowHeight="15" x14ac:dyDescent="0.2"/>
  <cols>
    <col min="1" max="1" width="3" customWidth="1"/>
    <col min="2" max="2" width="100" customWidth="1"/>
  </cols>
  <sheetData>
    <row r="2" spans="2:2" ht="24" customHeight="1" x14ac:dyDescent="0.2">
      <c r="B2" s="1" t="s">
        <v>0</v>
      </c>
    </row>
    <row r="3" spans="2:2" x14ac:dyDescent="0.2">
      <c r="B3" s="2" t="s">
        <v>1</v>
      </c>
    </row>
    <row r="5" spans="2:2" x14ac:dyDescent="0.2">
      <c r="B5" s="3" t="s">
        <v>2</v>
      </c>
    </row>
    <row r="6" spans="2:2" ht="42" customHeight="1" x14ac:dyDescent="0.2">
      <c r="B6" s="4" t="s">
        <v>3</v>
      </c>
    </row>
    <row r="7" spans="2:2" ht="14" customHeight="1" x14ac:dyDescent="0.2">
      <c r="B7" s="4" t="s">
        <v>4</v>
      </c>
    </row>
    <row r="8" spans="2:2" ht="28" customHeight="1" x14ac:dyDescent="0.2">
      <c r="B8" s="4" t="s">
        <v>5</v>
      </c>
    </row>
    <row r="9" spans="2:2" ht="28" customHeight="1" x14ac:dyDescent="0.2">
      <c r="B9" s="4" t="s">
        <v>6</v>
      </c>
    </row>
    <row r="10" spans="2:2" ht="28" customHeight="1" x14ac:dyDescent="0.2">
      <c r="B10" s="4" t="s">
        <v>7</v>
      </c>
    </row>
    <row r="12" spans="2:2" x14ac:dyDescent="0.2">
      <c r="B12" s="3" t="s">
        <v>8</v>
      </c>
    </row>
    <row r="13" spans="2:2" ht="28" customHeight="1" x14ac:dyDescent="0.2">
      <c r="B13" s="4" t="s">
        <v>9</v>
      </c>
    </row>
    <row r="15" spans="2:2" x14ac:dyDescent="0.2">
      <c r="B15" s="3" t="s">
        <v>10</v>
      </c>
    </row>
    <row r="16" spans="2:2" ht="42" customHeight="1" x14ac:dyDescent="0.2">
      <c r="B16" s="4" t="s">
        <v>11</v>
      </c>
    </row>
    <row r="17" spans="2:2" ht="28" customHeight="1" x14ac:dyDescent="0.2">
      <c r="B17" s="4" t="s">
        <v>12</v>
      </c>
    </row>
    <row r="18" spans="2:2" ht="42" customHeight="1" x14ac:dyDescent="0.2">
      <c r="B18" s="4" t="s">
        <v>13</v>
      </c>
    </row>
    <row r="19" spans="2:2" ht="28" customHeight="1" x14ac:dyDescent="0.2">
      <c r="B19" s="4" t="s">
        <v>14</v>
      </c>
    </row>
    <row r="20" spans="2:2" ht="28" customHeight="1" x14ac:dyDescent="0.2">
      <c r="B20" s="4" t="s">
        <v>15</v>
      </c>
    </row>
    <row r="21" spans="2:2" ht="28" customHeight="1" x14ac:dyDescent="0.2">
      <c r="B21" s="4" t="s">
        <v>16</v>
      </c>
    </row>
    <row r="23" spans="2:2" x14ac:dyDescent="0.2">
      <c r="B23" s="3" t="s">
        <v>17</v>
      </c>
    </row>
    <row r="24" spans="2:2" ht="28" customHeight="1" x14ac:dyDescent="0.2">
      <c r="B24" s="4" t="s">
        <v>18</v>
      </c>
    </row>
    <row r="26" spans="2:2" x14ac:dyDescent="0.2">
      <c r="B26" s="5" t="s">
        <v>19</v>
      </c>
    </row>
  </sheetData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9"/>
  <sheetViews>
    <sheetView showGridLines="0"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" width="44" customWidth="1"/>
    <col min="2" max="2" width="16" customWidth="1"/>
    <col min="3" max="3" width="18" customWidth="1"/>
    <col min="4" max="4" width="16" customWidth="1"/>
    <col min="5" max="5" width="90" customWidth="1"/>
  </cols>
  <sheetData>
    <row r="1" spans="1:5" ht="20" x14ac:dyDescent="0.2">
      <c r="A1" s="6" t="s">
        <v>20</v>
      </c>
    </row>
    <row r="2" spans="1:5" x14ac:dyDescent="0.2">
      <c r="A2" s="60" t="s">
        <v>21</v>
      </c>
      <c r="B2" s="58"/>
      <c r="C2" s="58"/>
      <c r="D2" s="58"/>
      <c r="E2" s="58"/>
    </row>
    <row r="5" spans="1:5" x14ac:dyDescent="0.2">
      <c r="A5" s="8" t="s">
        <v>22</v>
      </c>
      <c r="B5" s="8"/>
      <c r="C5" s="8"/>
      <c r="D5" s="8"/>
      <c r="E5" s="8"/>
    </row>
    <row r="6" spans="1:5" x14ac:dyDescent="0.2">
      <c r="A6" s="9" t="s">
        <v>23</v>
      </c>
      <c r="B6" s="10">
        <v>10000</v>
      </c>
      <c r="C6" s="11" t="s">
        <v>24</v>
      </c>
      <c r="D6" s="57" t="s">
        <v>25</v>
      </c>
      <c r="E6" s="58"/>
    </row>
    <row r="7" spans="1:5" x14ac:dyDescent="0.2">
      <c r="A7" s="9" t="s">
        <v>26</v>
      </c>
      <c r="B7" s="10">
        <v>200</v>
      </c>
      <c r="C7" s="11" t="s">
        <v>27</v>
      </c>
      <c r="D7" s="57" t="s">
        <v>28</v>
      </c>
      <c r="E7" s="58"/>
    </row>
    <row r="9" spans="1:5" x14ac:dyDescent="0.2">
      <c r="A9" s="8" t="s">
        <v>29</v>
      </c>
      <c r="B9" s="8"/>
      <c r="C9" s="8"/>
      <c r="D9" s="8"/>
      <c r="E9" s="8"/>
    </row>
    <row r="10" spans="1:5" x14ac:dyDescent="0.2">
      <c r="A10" s="9" t="s">
        <v>30</v>
      </c>
      <c r="B10" s="10">
        <v>65</v>
      </c>
      <c r="C10" s="11" t="s">
        <v>31</v>
      </c>
      <c r="D10" s="57" t="s">
        <v>32</v>
      </c>
      <c r="E10" s="58"/>
    </row>
    <row r="11" spans="1:5" x14ac:dyDescent="0.2">
      <c r="A11" s="9" t="s">
        <v>33</v>
      </c>
      <c r="B11" s="10">
        <v>12</v>
      </c>
      <c r="C11" s="11" t="s">
        <v>31</v>
      </c>
      <c r="D11" s="57" t="s">
        <v>34</v>
      </c>
      <c r="E11" s="58"/>
    </row>
    <row r="12" spans="1:5" x14ac:dyDescent="0.2">
      <c r="A12" s="9" t="s">
        <v>35</v>
      </c>
      <c r="B12" s="12">
        <v>2</v>
      </c>
      <c r="C12" s="11" t="s">
        <v>36</v>
      </c>
      <c r="D12" s="57" t="s">
        <v>37</v>
      </c>
      <c r="E12" s="58"/>
    </row>
    <row r="13" spans="1:5" x14ac:dyDescent="0.2">
      <c r="A13" s="9" t="s">
        <v>38</v>
      </c>
      <c r="B13" s="13">
        <v>0.05</v>
      </c>
      <c r="C13" s="11" t="s">
        <v>39</v>
      </c>
      <c r="D13" s="57" t="s">
        <v>40</v>
      </c>
      <c r="E13" s="58"/>
    </row>
    <row r="14" spans="1:5" x14ac:dyDescent="0.2">
      <c r="A14" s="9" t="s">
        <v>41</v>
      </c>
      <c r="B14" s="12">
        <v>6</v>
      </c>
      <c r="C14" s="11" t="s">
        <v>42</v>
      </c>
      <c r="D14" s="57" t="s">
        <v>43</v>
      </c>
      <c r="E14" s="58"/>
    </row>
    <row r="16" spans="1:5" x14ac:dyDescent="0.2">
      <c r="A16" s="8" t="s">
        <v>44</v>
      </c>
      <c r="B16" s="8"/>
      <c r="C16" s="8"/>
      <c r="D16" s="8"/>
      <c r="E16" s="8"/>
    </row>
    <row r="17" spans="1:5" x14ac:dyDescent="0.2">
      <c r="A17" s="9" t="s">
        <v>45</v>
      </c>
      <c r="B17" s="10">
        <v>1500</v>
      </c>
      <c r="C17" s="11" t="s">
        <v>46</v>
      </c>
      <c r="D17" s="57" t="s">
        <v>47</v>
      </c>
      <c r="E17" s="58"/>
    </row>
    <row r="18" spans="1:5" x14ac:dyDescent="0.2">
      <c r="A18" s="9" t="s">
        <v>48</v>
      </c>
      <c r="B18" s="10">
        <v>15000</v>
      </c>
      <c r="C18" s="11" t="s">
        <v>49</v>
      </c>
      <c r="D18" s="57" t="s">
        <v>50</v>
      </c>
      <c r="E18" s="58"/>
    </row>
    <row r="19" spans="1:5" x14ac:dyDescent="0.2">
      <c r="A19" s="9" t="s">
        <v>51</v>
      </c>
      <c r="B19" s="14">
        <v>1000000</v>
      </c>
      <c r="C19" s="11" t="s">
        <v>52</v>
      </c>
      <c r="D19" s="57" t="s">
        <v>53</v>
      </c>
      <c r="E19" s="58"/>
    </row>
    <row r="21" spans="1:5" x14ac:dyDescent="0.2">
      <c r="A21" s="8" t="s">
        <v>54</v>
      </c>
      <c r="B21" s="8"/>
      <c r="C21" s="8"/>
      <c r="D21" s="8"/>
      <c r="E21" s="8"/>
    </row>
    <row r="22" spans="1:5" ht="28" x14ac:dyDescent="0.2">
      <c r="A22" s="15" t="s">
        <v>55</v>
      </c>
      <c r="B22" s="16" t="s">
        <v>56</v>
      </c>
      <c r="C22" s="16" t="s">
        <v>57</v>
      </c>
      <c r="D22" s="59" t="s">
        <v>58</v>
      </c>
      <c r="E22" s="58"/>
    </row>
    <row r="23" spans="1:5" x14ac:dyDescent="0.2">
      <c r="A23" s="17" t="s">
        <v>59</v>
      </c>
      <c r="B23" s="18">
        <v>0.2</v>
      </c>
      <c r="C23" s="14">
        <v>7500</v>
      </c>
      <c r="D23" s="61"/>
      <c r="E23" s="58"/>
    </row>
    <row r="24" spans="1:5" x14ac:dyDescent="0.2">
      <c r="A24" s="17" t="s">
        <v>60</v>
      </c>
      <c r="B24" s="18">
        <v>0.3</v>
      </c>
      <c r="C24" s="14">
        <v>10000</v>
      </c>
      <c r="D24" s="61"/>
      <c r="E24" s="58"/>
    </row>
    <row r="25" spans="1:5" x14ac:dyDescent="0.2">
      <c r="A25" s="17" t="s">
        <v>61</v>
      </c>
      <c r="B25" s="18">
        <v>0.4</v>
      </c>
      <c r="C25" s="14">
        <v>14000</v>
      </c>
      <c r="D25" s="61"/>
      <c r="E25" s="58"/>
    </row>
    <row r="26" spans="1:5" x14ac:dyDescent="0.2">
      <c r="A26" s="17" t="s">
        <v>62</v>
      </c>
      <c r="B26" s="18">
        <v>0.1</v>
      </c>
      <c r="C26" s="14">
        <v>19000</v>
      </c>
      <c r="D26" s="61"/>
      <c r="E26" s="58"/>
    </row>
    <row r="27" spans="1:5" x14ac:dyDescent="0.2">
      <c r="A27" s="15" t="s">
        <v>63</v>
      </c>
      <c r="B27" s="19">
        <f>SUM(B23:B26)</f>
        <v>1</v>
      </c>
      <c r="C27" s="20"/>
      <c r="D27" s="59" t="str">
        <f>IF(ROUND(B27,4)=1,"OK","Shares must add up to 100%")</f>
        <v>OK</v>
      </c>
      <c r="E27" s="58"/>
    </row>
    <row r="28" spans="1:5" x14ac:dyDescent="0.2">
      <c r="A28" s="15" t="s">
        <v>64</v>
      </c>
      <c r="B28" s="21">
        <f>IFERROR(SUMPRODUCT(B23:B26,C23:C26)/SUM(B23:B26),0)</f>
        <v>12000</v>
      </c>
      <c r="C28" s="20" t="s">
        <v>65</v>
      </c>
      <c r="D28" s="59" t="s">
        <v>66</v>
      </c>
      <c r="E28" s="58"/>
    </row>
    <row r="29" spans="1:5" x14ac:dyDescent="0.2">
      <c r="A29" s="9" t="s">
        <v>67</v>
      </c>
      <c r="B29" s="13">
        <v>0.05</v>
      </c>
      <c r="C29" s="11" t="s">
        <v>39</v>
      </c>
      <c r="D29" s="57" t="s">
        <v>68</v>
      </c>
      <c r="E29" s="58"/>
    </row>
    <row r="31" spans="1:5" x14ac:dyDescent="0.2">
      <c r="A31" s="8" t="s">
        <v>69</v>
      </c>
      <c r="B31" s="8"/>
      <c r="C31" s="8"/>
      <c r="D31" s="8"/>
      <c r="E31" s="8"/>
    </row>
    <row r="32" spans="1:5" x14ac:dyDescent="0.2">
      <c r="A32" s="9" t="s">
        <v>70</v>
      </c>
      <c r="B32" s="12">
        <v>2</v>
      </c>
      <c r="C32" s="11" t="s">
        <v>71</v>
      </c>
      <c r="D32" s="57" t="s">
        <v>72</v>
      </c>
      <c r="E32" s="58"/>
    </row>
    <row r="33" spans="1:5" x14ac:dyDescent="0.2">
      <c r="A33" s="9" t="s">
        <v>73</v>
      </c>
      <c r="B33" s="12">
        <v>15</v>
      </c>
      <c r="C33" s="11" t="s">
        <v>74</v>
      </c>
      <c r="D33" s="57" t="s">
        <v>75</v>
      </c>
      <c r="E33" s="58"/>
    </row>
    <row r="35" spans="1:5" x14ac:dyDescent="0.2">
      <c r="A35" s="8" t="s">
        <v>76</v>
      </c>
      <c r="B35" s="8"/>
      <c r="C35" s="8"/>
      <c r="D35" s="8"/>
      <c r="E35" s="8"/>
    </row>
    <row r="36" spans="1:5" x14ac:dyDescent="0.2">
      <c r="A36" s="9" t="s">
        <v>77</v>
      </c>
      <c r="B36" s="18">
        <v>0.25</v>
      </c>
      <c r="C36" s="11" t="s">
        <v>78</v>
      </c>
      <c r="D36" s="57" t="s">
        <v>79</v>
      </c>
      <c r="E36" s="58"/>
    </row>
    <row r="37" spans="1:5" x14ac:dyDescent="0.2">
      <c r="A37" s="9" t="s">
        <v>80</v>
      </c>
      <c r="B37" s="18">
        <v>0.85</v>
      </c>
      <c r="C37" s="11" t="s">
        <v>78</v>
      </c>
      <c r="D37" s="57" t="s">
        <v>81</v>
      </c>
      <c r="E37" s="58"/>
    </row>
    <row r="38" spans="1:5" x14ac:dyDescent="0.2">
      <c r="A38" s="9" t="s">
        <v>82</v>
      </c>
      <c r="B38" s="12">
        <v>12</v>
      </c>
      <c r="C38" s="11" t="s">
        <v>36</v>
      </c>
      <c r="D38" s="57" t="s">
        <v>83</v>
      </c>
      <c r="E38" s="58"/>
    </row>
    <row r="40" spans="1:5" x14ac:dyDescent="0.2">
      <c r="A40" s="8" t="s">
        <v>84</v>
      </c>
      <c r="B40" s="8"/>
      <c r="C40" s="8"/>
      <c r="D40" s="8"/>
      <c r="E40" s="8"/>
    </row>
    <row r="41" spans="1:5" x14ac:dyDescent="0.2">
      <c r="A41" s="9" t="s">
        <v>85</v>
      </c>
      <c r="B41" s="14">
        <v>140000</v>
      </c>
      <c r="C41" s="11" t="s">
        <v>86</v>
      </c>
      <c r="D41" s="57" t="s">
        <v>87</v>
      </c>
      <c r="E41" s="58"/>
    </row>
    <row r="42" spans="1:5" x14ac:dyDescent="0.2">
      <c r="A42" s="9" t="s">
        <v>88</v>
      </c>
      <c r="B42" s="14">
        <v>60000</v>
      </c>
      <c r="C42" s="11" t="s">
        <v>86</v>
      </c>
      <c r="D42" s="57" t="s">
        <v>89</v>
      </c>
      <c r="E42" s="58"/>
    </row>
    <row r="43" spans="1:5" x14ac:dyDescent="0.2">
      <c r="A43" s="9" t="s">
        <v>90</v>
      </c>
      <c r="B43" s="14">
        <v>35000</v>
      </c>
      <c r="C43" s="11" t="s">
        <v>86</v>
      </c>
      <c r="D43" s="57" t="s">
        <v>91</v>
      </c>
      <c r="E43" s="58"/>
    </row>
    <row r="44" spans="1:5" x14ac:dyDescent="0.2">
      <c r="A44" s="9" t="s">
        <v>92</v>
      </c>
      <c r="B44" s="14">
        <v>20000</v>
      </c>
      <c r="C44" s="11" t="s">
        <v>86</v>
      </c>
      <c r="D44" s="57" t="s">
        <v>93</v>
      </c>
      <c r="E44" s="58"/>
    </row>
    <row r="45" spans="1:5" x14ac:dyDescent="0.2">
      <c r="A45" s="9" t="s">
        <v>94</v>
      </c>
      <c r="B45" s="14">
        <v>15000</v>
      </c>
      <c r="C45" s="11" t="s">
        <v>86</v>
      </c>
      <c r="D45" s="57" t="s">
        <v>95</v>
      </c>
      <c r="E45" s="58"/>
    </row>
    <row r="46" spans="1:5" x14ac:dyDescent="0.2">
      <c r="A46" s="9" t="s">
        <v>96</v>
      </c>
      <c r="B46" s="14">
        <v>10000</v>
      </c>
      <c r="C46" s="11" t="s">
        <v>86</v>
      </c>
      <c r="D46" s="57" t="s">
        <v>97</v>
      </c>
      <c r="E46" s="58"/>
    </row>
    <row r="47" spans="1:5" x14ac:dyDescent="0.2">
      <c r="A47" s="9" t="s">
        <v>98</v>
      </c>
      <c r="B47" s="14">
        <v>12000</v>
      </c>
      <c r="C47" s="11" t="s">
        <v>86</v>
      </c>
      <c r="D47" s="57" t="s">
        <v>99</v>
      </c>
      <c r="E47" s="58"/>
    </row>
    <row r="48" spans="1:5" x14ac:dyDescent="0.2">
      <c r="A48" s="9" t="s">
        <v>100</v>
      </c>
      <c r="B48" s="14">
        <v>8000</v>
      </c>
      <c r="C48" s="11" t="s">
        <v>86</v>
      </c>
      <c r="D48" s="57" t="s">
        <v>101</v>
      </c>
      <c r="E48" s="58"/>
    </row>
    <row r="49" spans="1:5" x14ac:dyDescent="0.2">
      <c r="A49" s="15" t="s">
        <v>102</v>
      </c>
      <c r="B49" s="21">
        <f>SUM($B$41,$B$42,$B$43,$B$44,$B$45,$B$46,$B$47,$B$48)</f>
        <v>300000</v>
      </c>
      <c r="C49" s="20" t="s">
        <v>86</v>
      </c>
      <c r="D49" s="59" t="s">
        <v>103</v>
      </c>
      <c r="E49" s="58"/>
    </row>
    <row r="50" spans="1:5" x14ac:dyDescent="0.2">
      <c r="A50" s="9" t="s">
        <v>104</v>
      </c>
      <c r="B50" s="14">
        <v>1500</v>
      </c>
      <c r="C50" s="11" t="s">
        <v>65</v>
      </c>
      <c r="D50" s="57" t="s">
        <v>105</v>
      </c>
      <c r="E50" s="58"/>
    </row>
    <row r="51" spans="1:5" x14ac:dyDescent="0.2">
      <c r="A51" s="9" t="s">
        <v>106</v>
      </c>
      <c r="B51" s="13">
        <v>0.05</v>
      </c>
      <c r="C51" s="11" t="s">
        <v>39</v>
      </c>
      <c r="D51" s="57" t="s">
        <v>107</v>
      </c>
      <c r="E51" s="58"/>
    </row>
    <row r="53" spans="1:5" x14ac:dyDescent="0.2">
      <c r="A53" s="8" t="s">
        <v>108</v>
      </c>
      <c r="B53" s="8"/>
      <c r="C53" s="8"/>
      <c r="D53" s="8"/>
      <c r="E53" s="8"/>
    </row>
    <row r="54" spans="1:5" x14ac:dyDescent="0.2">
      <c r="A54" s="15" t="s">
        <v>109</v>
      </c>
      <c r="B54" s="21">
        <f>Inputs!$B$6*Inputs!$B$17</f>
        <v>15000000</v>
      </c>
      <c r="C54" s="20" t="s">
        <v>110</v>
      </c>
      <c r="D54" s="59"/>
      <c r="E54" s="58"/>
    </row>
    <row r="55" spans="1:5" x14ac:dyDescent="0.2">
      <c r="A55" s="15" t="s">
        <v>111</v>
      </c>
      <c r="B55" s="21">
        <f>Inputs!$B$7*Inputs!$B$18</f>
        <v>3000000</v>
      </c>
      <c r="C55" s="20" t="s">
        <v>110</v>
      </c>
      <c r="D55" s="59"/>
      <c r="E55" s="58"/>
    </row>
    <row r="56" spans="1:5" x14ac:dyDescent="0.2">
      <c r="A56" s="15" t="s">
        <v>112</v>
      </c>
      <c r="B56" s="21">
        <f>Inputs!$B$54+Inputs!$B$55</f>
        <v>18000000</v>
      </c>
      <c r="C56" s="20" t="s">
        <v>110</v>
      </c>
      <c r="D56" s="59"/>
      <c r="E56" s="58"/>
    </row>
    <row r="57" spans="1:5" x14ac:dyDescent="0.2">
      <c r="A57" s="15" t="s">
        <v>113</v>
      </c>
      <c r="B57" s="21">
        <f>Inputs!$B$6*Inputs!$B$10</f>
        <v>650000</v>
      </c>
      <c r="C57" s="20" t="s">
        <v>86</v>
      </c>
      <c r="D57" s="59"/>
      <c r="E57" s="58"/>
    </row>
    <row r="58" spans="1:5" x14ac:dyDescent="0.2">
      <c r="A58" s="15" t="s">
        <v>41</v>
      </c>
      <c r="B58" s="21">
        <f>Inputs!$B$57*Inputs!$B$14</f>
        <v>3900000</v>
      </c>
      <c r="C58" s="20" t="s">
        <v>110</v>
      </c>
      <c r="D58" s="59" t="s">
        <v>114</v>
      </c>
      <c r="E58" s="58"/>
    </row>
    <row r="59" spans="1:5" x14ac:dyDescent="0.2">
      <c r="A59" s="15" t="s">
        <v>115</v>
      </c>
      <c r="B59" s="21">
        <f>Inputs!$B$56+Inputs!$B$19+Inputs!$B$58</f>
        <v>22900000</v>
      </c>
      <c r="C59" s="20" t="s">
        <v>110</v>
      </c>
      <c r="D59" s="59" t="s">
        <v>116</v>
      </c>
      <c r="E59" s="58"/>
    </row>
  </sheetData>
  <mergeCells count="41">
    <mergeCell ref="D59:E59"/>
    <mergeCell ref="D58:E58"/>
    <mergeCell ref="D12:E12"/>
    <mergeCell ref="D25:E25"/>
    <mergeCell ref="D55:E55"/>
    <mergeCell ref="D24:E24"/>
    <mergeCell ref="D42:E42"/>
    <mergeCell ref="D33:E33"/>
    <mergeCell ref="D29:E29"/>
    <mergeCell ref="D51:E51"/>
    <mergeCell ref="D23:E23"/>
    <mergeCell ref="D38:E38"/>
    <mergeCell ref="D14:E14"/>
    <mergeCell ref="D54:E54"/>
    <mergeCell ref="D50:E50"/>
    <mergeCell ref="D26:E26"/>
    <mergeCell ref="D44:E44"/>
    <mergeCell ref="A2:E2"/>
    <mergeCell ref="D43:E43"/>
    <mergeCell ref="D37:E37"/>
    <mergeCell ref="D28:E28"/>
    <mergeCell ref="D18:E18"/>
    <mergeCell ref="D57:E57"/>
    <mergeCell ref="D32:E32"/>
    <mergeCell ref="D41:E41"/>
    <mergeCell ref="D48:E48"/>
    <mergeCell ref="D17:E17"/>
    <mergeCell ref="D47:E47"/>
    <mergeCell ref="D56:E56"/>
    <mergeCell ref="D6:E6"/>
    <mergeCell ref="D11:E11"/>
    <mergeCell ref="D13:E13"/>
    <mergeCell ref="D27:E27"/>
    <mergeCell ref="D49:E49"/>
    <mergeCell ref="D7:E7"/>
    <mergeCell ref="D10:E10"/>
    <mergeCell ref="D19:E19"/>
    <mergeCell ref="D46:E46"/>
    <mergeCell ref="D22:E22"/>
    <mergeCell ref="D36:E36"/>
    <mergeCell ref="D45:E45"/>
  </mergeCells>
  <dataValidations count="10">
    <dataValidation type="decimal" showErrorMessage="1" errorTitle="Check this number" error="Enter a number from 0 to 10000000." sqref="B6 B18" xr:uid="{00000000-0002-0000-0100-000000000000}">
      <formula1>0</formula1>
      <formula2>10000000</formula2>
    </dataValidation>
    <dataValidation type="decimal" showErrorMessage="1" errorTitle="Check this number" error="Enter a number from 0 to 100000." sqref="B7 B17 B10:B11" xr:uid="{00000000-0002-0000-0100-000001000000}">
      <formula1>0</formula1>
      <formula2>100000</formula2>
    </dataValidation>
    <dataValidation type="decimal" showErrorMessage="1" errorTitle="Check this number" error="Enter a number from 0 to 36." sqref="B12 B14" xr:uid="{00000000-0002-0000-0100-000004000000}">
      <formula1>0</formula1>
      <formula2>36</formula2>
    </dataValidation>
    <dataValidation type="decimal" showErrorMessage="1" errorTitle="Check this number" error="Enter a number from 0 to 1." sqref="B13 B51 B36:B37 B29" xr:uid="{00000000-0002-0000-0100-000005000000}">
      <formula1>0</formula1>
      <formula2>1</formula2>
    </dataValidation>
    <dataValidation type="decimal" showErrorMessage="1" errorTitle="Check this number" error="Enter a number from 0 to 10000000000." sqref="B19" xr:uid="{00000000-0002-0000-0100-000009000000}">
      <formula1>0</formula1>
      <formula2>10000000000</formula2>
    </dataValidation>
    <dataValidation type="decimal" showErrorMessage="1" errorTitle="Check this number" error="Enter a number from 0 to 24." sqref="B32" xr:uid="{00000000-0002-0000-0100-00000B000000}">
      <formula1>0</formula1>
      <formula2>24</formula2>
    </dataValidation>
    <dataValidation type="decimal" showErrorMessage="1" errorTitle="Check this number" error="Enter a number from 0 to 60." sqref="B33" xr:uid="{00000000-0002-0000-0100-00000C000000}">
      <formula1>0</formula1>
      <formula2>60</formula2>
    </dataValidation>
    <dataValidation type="decimal" showErrorMessage="1" errorTitle="Check this number" error="Enter a number from 1 to 36." sqref="B38" xr:uid="{00000000-0002-0000-0100-00000F000000}">
      <formula1>1</formula1>
      <formula2>36</formula2>
    </dataValidation>
    <dataValidation type="decimal" showErrorMessage="1" errorTitle="Check this number" error="Enter a number from 0 to 1000000000." sqref="B41:B48" xr:uid="{00000000-0002-0000-0100-000010000000}">
      <formula1>0</formula1>
      <formula2>1000000000</formula2>
    </dataValidation>
    <dataValidation type="decimal" showErrorMessage="1" errorTitle="Check this number" error="Enter a number from 0 to 1000000." sqref="B50" xr:uid="{00000000-0002-0000-0100-000018000000}">
      <formula1>0</formula1>
      <formula2>1000000</formula2>
    </dataValidation>
  </dataValidation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51"/>
  <sheetViews>
    <sheetView showGridLines="0"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" width="40" customWidth="1"/>
    <col min="2" max="4" width="17" customWidth="1"/>
    <col min="5" max="5" width="3" customWidth="1"/>
    <col min="6" max="9" width="16" customWidth="1"/>
    <col min="10" max="10" width="3" customWidth="1"/>
  </cols>
  <sheetData>
    <row r="1" spans="1:4" ht="20" x14ac:dyDescent="0.2">
      <c r="A1" s="6" t="s">
        <v>117</v>
      </c>
    </row>
    <row r="2" spans="1:4" x14ac:dyDescent="0.2">
      <c r="A2" s="7" t="s">
        <v>118</v>
      </c>
    </row>
    <row r="4" spans="1:4" x14ac:dyDescent="0.2">
      <c r="A4" s="8" t="s">
        <v>119</v>
      </c>
      <c r="B4" s="8"/>
      <c r="C4" s="8"/>
      <c r="D4" s="8"/>
    </row>
    <row r="5" spans="1:4" x14ac:dyDescent="0.2">
      <c r="A5" s="17" t="s">
        <v>112</v>
      </c>
      <c r="B5" s="22">
        <f>Inputs!$B$56</f>
        <v>18000000</v>
      </c>
    </row>
    <row r="6" spans="1:4" x14ac:dyDescent="0.2">
      <c r="A6" s="17" t="s">
        <v>51</v>
      </c>
      <c r="B6" s="22">
        <f>Inputs!$B$19</f>
        <v>1000000</v>
      </c>
    </row>
    <row r="7" spans="1:4" x14ac:dyDescent="0.2">
      <c r="A7" s="17" t="s">
        <v>41</v>
      </c>
      <c r="B7" s="22">
        <f>Inputs!$B$58</f>
        <v>3900000</v>
      </c>
      <c r="C7" s="62" t="s">
        <v>120</v>
      </c>
      <c r="D7" s="58"/>
    </row>
    <row r="8" spans="1:4" x14ac:dyDescent="0.2">
      <c r="A8" s="23" t="s">
        <v>115</v>
      </c>
      <c r="B8" s="24">
        <f>Inputs!$B$59</f>
        <v>22900000</v>
      </c>
    </row>
    <row r="9" spans="1:4" x14ac:dyDescent="0.2">
      <c r="A9" s="25" t="s">
        <v>121</v>
      </c>
      <c r="B9" s="26">
        <f>MAX(0,-MIN(Monthly!$AD$5:$AD$41))</f>
        <v>23814000</v>
      </c>
      <c r="C9" s="62" t="s">
        <v>122</v>
      </c>
      <c r="D9" s="58"/>
    </row>
    <row r="10" spans="1:4" x14ac:dyDescent="0.2">
      <c r="A10" s="17" t="s">
        <v>123</v>
      </c>
      <c r="B10" s="27">
        <f>INDEX(Monthly!$A$5:$A$41,MATCH(MIN(Monthly!$AD$5:$AD$41),Monthly!$AD$5:$AD$41,0))</f>
        <v>6</v>
      </c>
    </row>
    <row r="12" spans="1:4" x14ac:dyDescent="0.2">
      <c r="A12" s="8" t="s">
        <v>124</v>
      </c>
      <c r="B12" s="8"/>
      <c r="C12" s="8"/>
      <c r="D12" s="8"/>
    </row>
    <row r="13" spans="1:4" x14ac:dyDescent="0.2">
      <c r="A13" s="25" t="s">
        <v>125</v>
      </c>
      <c r="B13" s="28">
        <f>IF((Inputs!$B$28-Inputs!$B$50)&lt;=0,"Not reachable",IF(ROUNDUP((Inputs!$B$57+Inputs!$B$6*Inputs!$B$11+Inputs!$B$49)/(Inputs!$B$28-Inputs!$B$50),0)&gt;INT(Inputs!$B$7),"Above 100%",ROUNDUP((Inputs!$B$57+Inputs!$B$6*Inputs!$B$11+Inputs!$B$49)/(Inputs!$B$28-Inputs!$B$50),0)/INT(Inputs!$B$7)))</f>
        <v>0.51</v>
      </c>
      <c r="C13" s="62" t="s">
        <v>126</v>
      </c>
      <c r="D13" s="58"/>
    </row>
    <row r="14" spans="1:4" x14ac:dyDescent="0.2">
      <c r="A14" s="17" t="s">
        <v>127</v>
      </c>
      <c r="B14" s="29">
        <f>IF((Inputs!$B$28-Inputs!$B$50)&lt;=0,"Not reachable",ROUNDUP((Inputs!$B$57+Inputs!$B$6*Inputs!$B$11+Inputs!$B$49)/(Inputs!$B$28-Inputs!$B$50),0))</f>
        <v>102</v>
      </c>
    </row>
    <row r="15" spans="1:4" x14ac:dyDescent="0.2">
      <c r="A15" s="25" t="s">
        <v>128</v>
      </c>
      <c r="B15" s="30">
        <f>IF(COUNT(Monthly!$AG$6:$AG$41)=0,"After month 36",MIN(Monthly!$AG$6:$AG$41))</f>
        <v>6</v>
      </c>
      <c r="C15" s="62" t="s">
        <v>129</v>
      </c>
      <c r="D15" s="58"/>
    </row>
    <row r="16" spans="1:4" x14ac:dyDescent="0.2">
      <c r="A16" s="25" t="s">
        <v>130</v>
      </c>
      <c r="B16" s="30" t="str">
        <f>IF(COUNT(Monthly!$AH$6:$AH$41)=0,"After month 36",MIN(Monthly!$AH$6:$AH$41))</f>
        <v>After month 36</v>
      </c>
      <c r="C16" s="62" t="s">
        <v>131</v>
      </c>
      <c r="D16" s="58"/>
    </row>
    <row r="17" spans="1:4" x14ac:dyDescent="0.2">
      <c r="A17" s="17" t="s">
        <v>132</v>
      </c>
      <c r="B17" s="27">
        <f>IF(ISNUMBER(B16),"Within 36 months",IF(Monthly!Z41&lt;=0,"Not in sight",36+ROUNDUP(-Monthly!AD41/Monthly!Z41,0)))</f>
        <v>41</v>
      </c>
      <c r="C17" s="62" t="s">
        <v>133</v>
      </c>
      <c r="D17" s="58"/>
    </row>
    <row r="18" spans="1:4" x14ac:dyDescent="0.2">
      <c r="A18" s="17" t="s">
        <v>134</v>
      </c>
      <c r="B18" s="27">
        <f>IF(COUNT(Monthly!$AI$6:$AI$41)=0,"After month 36",MIN(Monthly!$AI$6:$AI$41))</f>
        <v>36</v>
      </c>
    </row>
    <row r="19" spans="1:4" x14ac:dyDescent="0.2">
      <c r="A19" s="17" t="s">
        <v>135</v>
      </c>
      <c r="B19" s="22">
        <f>Monthly!AD41</f>
        <v>-3288600</v>
      </c>
    </row>
    <row r="20" spans="1:4" x14ac:dyDescent="0.2">
      <c r="A20" s="17" t="s">
        <v>136</v>
      </c>
      <c r="B20" s="22">
        <f>Monthly!AA41</f>
        <v>4498200</v>
      </c>
      <c r="C20" s="62" t="s">
        <v>137</v>
      </c>
      <c r="D20" s="58"/>
    </row>
    <row r="22" spans="1:4" x14ac:dyDescent="0.2">
      <c r="A22" s="8" t="s">
        <v>138</v>
      </c>
      <c r="B22" s="8"/>
      <c r="C22" s="8"/>
      <c r="D22" s="8"/>
    </row>
    <row r="23" spans="1:4" x14ac:dyDescent="0.2">
      <c r="A23" s="31" t="s">
        <v>139</v>
      </c>
      <c r="B23" s="16" t="s">
        <v>140</v>
      </c>
      <c r="C23" s="16" t="s">
        <v>141</v>
      </c>
      <c r="D23" s="16" t="s">
        <v>142</v>
      </c>
    </row>
    <row r="24" spans="1:4" x14ac:dyDescent="0.2">
      <c r="A24" s="17" t="s">
        <v>143</v>
      </c>
      <c r="B24" s="32">
        <f>AVERAGEIFS(Monthly!$C$6:$C$41,Monthly!$B$6:$B$41,1)</f>
        <v>0.54999999999999993</v>
      </c>
      <c r="C24" s="32">
        <f>AVERAGEIFS(Monthly!$C$6:$C$41,Monthly!$B$6:$B$41,2)</f>
        <v>0.84999999999999976</v>
      </c>
      <c r="D24" s="32">
        <f>AVERAGEIFS(Monthly!$C$6:$C$41,Monthly!$B$6:$B$41,3)</f>
        <v>0.84999999999999976</v>
      </c>
    </row>
    <row r="25" spans="1:4" x14ac:dyDescent="0.2">
      <c r="A25" s="23" t="s">
        <v>144</v>
      </c>
      <c r="B25" s="24">
        <f>SUMIFS(Monthly!$F$6:$F$41,Monthly!$B$6:$B$41,1)</f>
        <v>15780000</v>
      </c>
      <c r="C25" s="24">
        <f>SUMIFS(Monthly!$F$6:$F$41,Monthly!$B$6:$B$41,2)</f>
        <v>25704000</v>
      </c>
      <c r="D25" s="24">
        <f>SUMIFS(Monthly!$F$6:$F$41,Monthly!$B$6:$B$41,3)</f>
        <v>26989200</v>
      </c>
    </row>
    <row r="26" spans="1:4" x14ac:dyDescent="0.2">
      <c r="A26" s="17" t="s">
        <v>145</v>
      </c>
      <c r="B26" s="22">
        <f>SUMIFS(Monthly!$G$6:$G$41,Monthly!$B$6:$B$41,1)+SUMIFS(Monthly!$H$6:$H$41,Monthly!$B$6:$B$41,1)</f>
        <v>7940000</v>
      </c>
      <c r="C26" s="22">
        <f>SUMIFS(Monthly!$G$6:$G$41,Monthly!$B$6:$B$41,2)+SUMIFS(Monthly!$H$6:$H$41,Monthly!$B$6:$B$41,2)</f>
        <v>9702000</v>
      </c>
      <c r="D26" s="22">
        <f>SUMIFS(Monthly!$G$6:$G$41,Monthly!$B$6:$B$41,3)+SUMIFS(Monthly!$H$6:$H$41,Monthly!$B$6:$B$41,3)</f>
        <v>10187100</v>
      </c>
    </row>
    <row r="27" spans="1:4" x14ac:dyDescent="0.2">
      <c r="A27" s="17" t="s">
        <v>146</v>
      </c>
      <c r="B27" s="22">
        <f>SUMIFS(Monthly!$S$6:$S$41,Monthly!$B$6:$B$41,1)-SUMIFS(Monthly!$G$6:$G$41,Monthly!$B$6:$B$41,1)-SUMIFS(Monthly!$H$6:$H$41,Monthly!$B$6:$B$41,1)</f>
        <v>5572500</v>
      </c>
      <c r="C27" s="22">
        <f>SUMIFS(Monthly!$S$6:$S$41,Monthly!$B$6:$B$41,2)-SUMIFS(Monthly!$G$6:$G$41,Monthly!$B$6:$B$41,2)-SUMIFS(Monthly!$H$6:$H$41,Monthly!$B$6:$B$41,2)</f>
        <v>6993000</v>
      </c>
      <c r="D27" s="22">
        <f>SUMIFS(Monthly!$S$6:$S$41,Monthly!$B$6:$B$41,3)-SUMIFS(Monthly!$G$6:$G$41,Monthly!$B$6:$B$41,3)-SUMIFS(Monthly!$H$6:$H$41,Monthly!$B$6:$B$41,3)</f>
        <v>7342650</v>
      </c>
    </row>
    <row r="28" spans="1:4" x14ac:dyDescent="0.2">
      <c r="A28" s="23" t="s">
        <v>147</v>
      </c>
      <c r="B28" s="24">
        <f>SUMIFS(Monthly!$T$6:$T$41,Monthly!$B$6:$B$41,1)</f>
        <v>2267500</v>
      </c>
      <c r="C28" s="24">
        <f>SUMIFS(Monthly!$T$6:$T$41,Monthly!$B$6:$B$41,2)</f>
        <v>9009000</v>
      </c>
      <c r="D28" s="24">
        <f>SUMIFS(Monthly!$T$6:$T$41,Monthly!$B$6:$B$41,3)</f>
        <v>9459450</v>
      </c>
    </row>
    <row r="29" spans="1:4" x14ac:dyDescent="0.2">
      <c r="A29" s="23" t="s">
        <v>148</v>
      </c>
      <c r="B29" s="33">
        <f>IF(B25=0,"",B28/B25)</f>
        <v>0.14369455006337137</v>
      </c>
      <c r="C29" s="33">
        <f>IF(C25=0,"",C28/C25)</f>
        <v>0.35049019607843135</v>
      </c>
      <c r="D29" s="33">
        <f>IF(D25=0,"",D28/D25)</f>
        <v>0.35049019607843135</v>
      </c>
    </row>
    <row r="30" spans="1:4" x14ac:dyDescent="0.2">
      <c r="A30" s="7" t="s">
        <v>149</v>
      </c>
    </row>
    <row r="32" spans="1:4" x14ac:dyDescent="0.2">
      <c r="A32" s="8" t="s">
        <v>150</v>
      </c>
      <c r="B32" s="8"/>
      <c r="C32" s="8"/>
      <c r="D32" s="8"/>
    </row>
    <row r="33" spans="1:4" x14ac:dyDescent="0.2">
      <c r="A33" s="7" t="s">
        <v>151</v>
      </c>
    </row>
    <row r="34" spans="1:4" x14ac:dyDescent="0.2">
      <c r="A34" s="15" t="s">
        <v>152</v>
      </c>
      <c r="B34" s="16" t="s">
        <v>153</v>
      </c>
      <c r="C34" s="16" t="s">
        <v>154</v>
      </c>
      <c r="D34" s="16" t="s">
        <v>155</v>
      </c>
    </row>
    <row r="35" spans="1:4" x14ac:dyDescent="0.2">
      <c r="A35" s="17" t="s">
        <v>156</v>
      </c>
      <c r="B35" s="34">
        <f>SUMIFS('Sensitivity workings'!$F$8:$F$43,'Sensitivity workings'!$B$8:$B$43,3)</f>
        <v>4299750</v>
      </c>
      <c r="C35" s="34">
        <f>SUMIFS('Sensitivity workings'!$N$8:$N$43,'Sensitivity workings'!$B$8:$B$43,3)</f>
        <v>6681150</v>
      </c>
      <c r="D35" s="34">
        <f>SUMIFS('Sensitivity workings'!$V$8:$V$43,'Sensitivity workings'!$B$8:$B$43,3)</f>
        <v>9062550</v>
      </c>
    </row>
    <row r="36" spans="1:4" x14ac:dyDescent="0.2">
      <c r="A36" s="17" t="s">
        <v>157</v>
      </c>
      <c r="B36" s="34">
        <f>SUMIFS('Sensitivity workings'!$AD$8:$AD$43,'Sensitivity workings'!$B$8:$B$43,3)</f>
        <v>6760530</v>
      </c>
      <c r="C36" s="35">
        <f>SUMIFS('Sensitivity workings'!$AL$8:$AL$43,'Sensitivity workings'!$B$8:$B$43,3)</f>
        <v>9459450</v>
      </c>
      <c r="D36" s="34">
        <f>SUMIFS('Sensitivity workings'!$AT$8:$AT$43,'Sensitivity workings'!$B$8:$B$43,3)</f>
        <v>12158370</v>
      </c>
    </row>
    <row r="37" spans="1:4" x14ac:dyDescent="0.2">
      <c r="A37" s="17" t="s">
        <v>158</v>
      </c>
      <c r="B37" s="34">
        <f>SUMIFS('Sensitivity workings'!$BB$8:$BB$43,'Sensitivity workings'!$B$8:$B$43,3)</f>
        <v>9221310</v>
      </c>
      <c r="C37" s="34">
        <f>SUMIFS('Sensitivity workings'!$BJ$8:$BJ$43,'Sensitivity workings'!$B$8:$B$43,3)</f>
        <v>12237750</v>
      </c>
      <c r="D37" s="34">
        <f>SUMIFS('Sensitivity workings'!$BR$8:$BR$43,'Sensitivity workings'!$B$8:$B$43,3)</f>
        <v>15254190</v>
      </c>
    </row>
    <row r="39" spans="1:4" x14ac:dyDescent="0.2">
      <c r="A39" s="15" t="s">
        <v>130</v>
      </c>
      <c r="B39" s="16" t="s">
        <v>153</v>
      </c>
      <c r="C39" s="16" t="s">
        <v>154</v>
      </c>
      <c r="D39" s="16" t="s">
        <v>155</v>
      </c>
    </row>
    <row r="40" spans="1:4" x14ac:dyDescent="0.2">
      <c r="A40" s="17" t="s">
        <v>156</v>
      </c>
      <c r="B40" s="36" t="str">
        <f>IF(COUNT('Sensitivity workings'!$I$8:$I$43)&gt;0,MIN('Sensitivity workings'!$I$8:$I$43),IF('Sensitivity workings'!$H$43-'Sensitivity workings'!$H$42&lt;=0,"Not in sight","About "&amp;(36+ROUNDUP(-'Sensitivity workings'!$H$43/('Sensitivity workings'!$H$43-'Sensitivity workings'!$H$42),0))))</f>
        <v>About 81</v>
      </c>
      <c r="C40" s="36" t="str">
        <f>IF(COUNT('Sensitivity workings'!$Q$8:$Q$43)&gt;0,MIN('Sensitivity workings'!$Q$8:$Q$43),IF('Sensitivity workings'!$P$43-'Sensitivity workings'!$P$42&lt;=0,"Not in sight","About "&amp;(36+ROUNDUP(-'Sensitivity workings'!$P$43/('Sensitivity workings'!$P$43-'Sensitivity workings'!$P$42),0))))</f>
        <v>About 54</v>
      </c>
      <c r="D40" s="36" t="str">
        <f>IF(COUNT('Sensitivity workings'!$Y$8:$Y$43)&gt;0,MIN('Sensitivity workings'!$Y$8:$Y$43),IF('Sensitivity workings'!$X$43-'Sensitivity workings'!$X$42&lt;=0,"Not in sight","About "&amp;(36+ROUNDUP(-'Sensitivity workings'!$X$43/('Sensitivity workings'!$X$43-'Sensitivity workings'!$X$42),0))))</f>
        <v>About 42</v>
      </c>
    </row>
    <row r="41" spans="1:4" x14ac:dyDescent="0.2">
      <c r="A41" s="17" t="s">
        <v>157</v>
      </c>
      <c r="B41" s="36" t="str">
        <f>IF(COUNT('Sensitivity workings'!$AG$8:$AG$43)&gt;0,MIN('Sensitivity workings'!$AG$8:$AG$43),IF('Sensitivity workings'!$AF$43-'Sensitivity workings'!$AF$42&lt;=0,"Not in sight","About "&amp;(36+ROUNDUP(-'Sensitivity workings'!$AF$43/('Sensitivity workings'!$AF$43-'Sensitivity workings'!$AF$42),0))))</f>
        <v>About 54</v>
      </c>
      <c r="C41" s="37" t="str">
        <f>IF(COUNT('Sensitivity workings'!$AO$8:$AO$43)&gt;0,MIN('Sensitivity workings'!$AO$8:$AO$43),IF('Sensitivity workings'!$AN$43-'Sensitivity workings'!$AN$42&lt;=0,"Not in sight","About "&amp;(36+ROUNDUP(-'Sensitivity workings'!$AN$43/('Sensitivity workings'!$AN$43-'Sensitivity workings'!$AN$42),0))))</f>
        <v>About 41</v>
      </c>
      <c r="D41" s="36">
        <f>IF(COUNT('Sensitivity workings'!$AW$8:$AW$43)&gt;0,MIN('Sensitivity workings'!$AW$8:$AW$43),IF('Sensitivity workings'!$AV$43-'Sensitivity workings'!$AV$42&lt;=0,"Not in sight","About "&amp;(36+ROUNDUP(-'Sensitivity workings'!$AV$43/('Sensitivity workings'!$AV$43-'Sensitivity workings'!$AV$42),0))))</f>
        <v>33</v>
      </c>
    </row>
    <row r="42" spans="1:4" x14ac:dyDescent="0.2">
      <c r="A42" s="17" t="s">
        <v>158</v>
      </c>
      <c r="B42" s="36" t="str">
        <f>IF(COUNT('Sensitivity workings'!$BE$8:$BE$43)&gt;0,MIN('Sensitivity workings'!$BE$8:$BE$43),IF('Sensitivity workings'!$BD$43-'Sensitivity workings'!$BD$42&lt;=0,"Not in sight","About "&amp;(36+ROUNDUP(-'Sensitivity workings'!$BD$43/('Sensitivity workings'!$BD$43-'Sensitivity workings'!$BD$42),0))))</f>
        <v>About 42</v>
      </c>
      <c r="C42" s="36">
        <f>IF(COUNT('Sensitivity workings'!$BM$8:$BM$43)&gt;0,MIN('Sensitivity workings'!$BM$8:$BM$43),IF('Sensitivity workings'!$BL$43-'Sensitivity workings'!$BL$42&lt;=0,"Not in sight","About "&amp;(36+ROUNDUP(-'Sensitivity workings'!$BL$43/('Sensitivity workings'!$BL$43-'Sensitivity workings'!$BL$42),0))))</f>
        <v>33</v>
      </c>
      <c r="D42" s="36">
        <f>IF(COUNT('Sensitivity workings'!$BU$8:$BU$43)&gt;0,MIN('Sensitivity workings'!$BU$8:$BU$43),IF('Sensitivity workings'!$BT$43-'Sensitivity workings'!$BT$42&lt;=0,"Not in sight","About "&amp;(36+ROUNDUP(-'Sensitivity workings'!$BT$43/('Sensitivity workings'!$BT$43-'Sensitivity workings'!$BT$42),0))))</f>
        <v>28</v>
      </c>
    </row>
    <row r="44" spans="1:4" x14ac:dyDescent="0.2">
      <c r="A44" s="15" t="s">
        <v>121</v>
      </c>
      <c r="B44" s="16" t="s">
        <v>153</v>
      </c>
      <c r="C44" s="16" t="s">
        <v>154</v>
      </c>
      <c r="D44" s="16" t="s">
        <v>155</v>
      </c>
    </row>
    <row r="45" spans="1:4" x14ac:dyDescent="0.2">
      <c r="A45" s="17" t="s">
        <v>156</v>
      </c>
      <c r="B45" s="34">
        <f>MAX(0,-MIN('Sensitivity workings'!$H$7:$H$43))</f>
        <v>24706600</v>
      </c>
      <c r="C45" s="34">
        <f>MAX(0,-MIN('Sensitivity workings'!$P$7:$P$43))</f>
        <v>24054500</v>
      </c>
      <c r="D45" s="34">
        <f>MAX(0,-MIN('Sensitivity workings'!$X$7:$X$43))</f>
        <v>23557500</v>
      </c>
    </row>
    <row r="46" spans="1:4" x14ac:dyDescent="0.2">
      <c r="A46" s="17" t="s">
        <v>157</v>
      </c>
      <c r="B46" s="34">
        <f>MAX(0,-MIN('Sensitivity workings'!$AF$7:$AF$43))</f>
        <v>24363500</v>
      </c>
      <c r="C46" s="35">
        <f>MAX(0,-MIN('Sensitivity workings'!$AN$7:$AN$43))</f>
        <v>23814000</v>
      </c>
      <c r="D46" s="34">
        <f>MAX(0,-MIN('Sensitivity workings'!$AV$7:$AV$43))</f>
        <v>23398600</v>
      </c>
    </row>
    <row r="47" spans="1:4" x14ac:dyDescent="0.2">
      <c r="A47" s="17" t="s">
        <v>158</v>
      </c>
      <c r="B47" s="34">
        <f>MAX(0,-MIN('Sensitivity workings'!$BD$7:$BD$43))</f>
        <v>24091800</v>
      </c>
      <c r="C47" s="34">
        <f>MAX(0,-MIN('Sensitivity workings'!$BL$7:$BL$43))</f>
        <v>23612500</v>
      </c>
      <c r="D47" s="34">
        <f>MAX(0,-MIN('Sensitivity workings'!$BT$7:$BT$43))</f>
        <v>23243300</v>
      </c>
    </row>
    <row r="49" spans="1:1" x14ac:dyDescent="0.2">
      <c r="A49" s="7" t="s">
        <v>159</v>
      </c>
    </row>
    <row r="51" spans="1:1" x14ac:dyDescent="0.2">
      <c r="A51" s="38" t="s">
        <v>160</v>
      </c>
    </row>
  </sheetData>
  <mergeCells count="7">
    <mergeCell ref="C20:D20"/>
    <mergeCell ref="C7:D7"/>
    <mergeCell ref="C16:D16"/>
    <mergeCell ref="C15:D15"/>
    <mergeCell ref="C13:D13"/>
    <mergeCell ref="C9:D9"/>
    <mergeCell ref="C17:D17"/>
  </mergeCells>
  <conditionalFormatting sqref="B5:B9">
    <cfRule type="cellIs" dxfId="31" priority="2" stopIfTrue="1" operator="lessThanOrEqual">
      <formula>-99999.5</formula>
    </cfRule>
    <cfRule type="cellIs" dxfId="30" priority="1" stopIfTrue="1" operator="lessThanOrEqual">
      <formula>-9999999.5</formula>
    </cfRule>
  </conditionalFormatting>
  <conditionalFormatting sqref="B19:B20">
    <cfRule type="cellIs" dxfId="29" priority="11" stopIfTrue="1" operator="lessThanOrEqual">
      <formula>-9999999.5</formula>
    </cfRule>
    <cfRule type="cellIs" dxfId="28" priority="12" stopIfTrue="1" operator="lessThanOrEqual">
      <formula>-99999.5</formula>
    </cfRule>
  </conditionalFormatting>
  <conditionalFormatting sqref="B25:D28">
    <cfRule type="cellIs" dxfId="27" priority="16" stopIfTrue="1" operator="lessThanOrEqual">
      <formula>-99999.5</formula>
    </cfRule>
    <cfRule type="cellIs" dxfId="26" priority="15" stopIfTrue="1" operator="lessThanOrEqual">
      <formula>-9999999.5</formula>
    </cfRule>
  </conditionalFormatting>
  <conditionalFormatting sqref="B35:D37">
    <cfRule type="cellIs" dxfId="25" priority="24" stopIfTrue="1" operator="lessThanOrEqual">
      <formula>-99999.5</formula>
    </cfRule>
    <cfRule type="cellIs" dxfId="24" priority="23" stopIfTrue="1" operator="lessThanOrEqual">
      <formula>-9999999.5</formula>
    </cfRule>
  </conditionalFormatting>
  <conditionalFormatting sqref="B45:D47">
    <cfRule type="cellIs" dxfId="23" priority="30" stopIfTrue="1" operator="lessThanOrEqual">
      <formula>-99999.5</formula>
    </cfRule>
    <cfRule type="cellIs" dxfId="22" priority="29" stopIfTrue="1" operator="lessThanOrEqual">
      <formula>-9999999.5</formula>
    </cfRule>
  </conditionalFormatting>
  <pageMargins left="0.75" right="0.75" top="1" bottom="1" header="0.5" footer="0.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43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8" customWidth="1"/>
    <col min="2" max="2" width="6" customWidth="1"/>
    <col min="3" max="3" width="10" customWidth="1"/>
    <col min="4" max="4" width="9" customWidth="1"/>
    <col min="5" max="5" width="12" customWidth="1"/>
    <col min="6" max="6" width="14" customWidth="1"/>
    <col min="7" max="7" width="13" customWidth="1"/>
    <col min="8" max="10" width="12" customWidth="1"/>
    <col min="11" max="11" width="13" customWidth="1"/>
    <col min="12" max="14" width="11" customWidth="1"/>
    <col min="15" max="15" width="12" customWidth="1"/>
    <col min="16" max="17" width="11" customWidth="1"/>
    <col min="18" max="18" width="12" customWidth="1"/>
    <col min="19" max="20" width="14" customWidth="1"/>
    <col min="21" max="21" width="10" customWidth="1"/>
    <col min="22" max="25" width="14" customWidth="1"/>
    <col min="26" max="26" width="15" customWidth="1"/>
    <col min="27" max="29" width="14" customWidth="1"/>
    <col min="30" max="31" width="16" customWidth="1"/>
    <col min="32" max="32" width="17" customWidth="1"/>
    <col min="33" max="33" width="12" customWidth="1"/>
    <col min="34" max="34" width="10" customWidth="1"/>
    <col min="35" max="35" width="12" customWidth="1"/>
    <col min="36" max="37" width="10" customWidth="1"/>
    <col min="38" max="38" width="12" customWidth="1"/>
  </cols>
  <sheetData>
    <row r="1" spans="1:38" ht="20" x14ac:dyDescent="0.2">
      <c r="A1" s="6" t="s">
        <v>161</v>
      </c>
    </row>
    <row r="2" spans="1:38" x14ac:dyDescent="0.2">
      <c r="A2" s="7" t="s">
        <v>162</v>
      </c>
    </row>
    <row r="3" spans="1:38" x14ac:dyDescent="0.2">
      <c r="A3" s="63" t="s">
        <v>163</v>
      </c>
      <c r="B3" s="58"/>
      <c r="C3" s="58"/>
      <c r="D3" s="58"/>
      <c r="E3" s="58"/>
      <c r="F3" s="58"/>
      <c r="G3" s="63" t="s">
        <v>164</v>
      </c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63" t="s">
        <v>165</v>
      </c>
      <c r="W3" s="58"/>
      <c r="X3" s="58"/>
      <c r="Y3" s="58"/>
      <c r="Z3" s="58"/>
      <c r="AA3" s="58"/>
      <c r="AB3" s="58"/>
      <c r="AC3" s="58"/>
      <c r="AD3" s="58"/>
      <c r="AE3" s="58"/>
      <c r="AF3" s="58"/>
      <c r="AG3" s="63" t="s">
        <v>166</v>
      </c>
      <c r="AH3" s="58"/>
      <c r="AI3" s="58"/>
      <c r="AJ3" s="63" t="s">
        <v>167</v>
      </c>
      <c r="AK3" s="58"/>
      <c r="AL3" s="58"/>
    </row>
    <row r="4" spans="1:38" ht="54" customHeight="1" x14ac:dyDescent="0.2">
      <c r="A4" s="39" t="s">
        <v>168</v>
      </c>
      <c r="B4" s="39" t="s">
        <v>169</v>
      </c>
      <c r="C4" s="39" t="s">
        <v>170</v>
      </c>
      <c r="D4" s="39" t="s">
        <v>171</v>
      </c>
      <c r="E4" s="39" t="s">
        <v>172</v>
      </c>
      <c r="F4" s="39" t="s">
        <v>144</v>
      </c>
      <c r="G4" s="39" t="s">
        <v>30</v>
      </c>
      <c r="H4" s="39" t="s">
        <v>173</v>
      </c>
      <c r="I4" s="39" t="s">
        <v>174</v>
      </c>
      <c r="J4" s="39" t="s">
        <v>175</v>
      </c>
      <c r="K4" s="39" t="s">
        <v>90</v>
      </c>
      <c r="L4" s="39" t="s">
        <v>92</v>
      </c>
      <c r="M4" s="39" t="s">
        <v>94</v>
      </c>
      <c r="N4" s="39" t="s">
        <v>96</v>
      </c>
      <c r="O4" s="39" t="s">
        <v>98</v>
      </c>
      <c r="P4" s="39" t="s">
        <v>100</v>
      </c>
      <c r="Q4" s="39" t="s">
        <v>176</v>
      </c>
      <c r="R4" s="39" t="s">
        <v>177</v>
      </c>
      <c r="S4" s="39" t="s">
        <v>178</v>
      </c>
      <c r="T4" s="39" t="s">
        <v>147</v>
      </c>
      <c r="U4" s="39" t="s">
        <v>148</v>
      </c>
      <c r="V4" s="39" t="s">
        <v>179</v>
      </c>
      <c r="W4" s="39" t="s">
        <v>180</v>
      </c>
      <c r="X4" s="39" t="s">
        <v>181</v>
      </c>
      <c r="Y4" s="39" t="s">
        <v>182</v>
      </c>
      <c r="Z4" s="39" t="s">
        <v>183</v>
      </c>
      <c r="AA4" s="39" t="s">
        <v>184</v>
      </c>
      <c r="AB4" s="39" t="s">
        <v>185</v>
      </c>
      <c r="AC4" s="39" t="s">
        <v>186</v>
      </c>
      <c r="AD4" s="39" t="s">
        <v>187</v>
      </c>
      <c r="AE4" s="39" t="s">
        <v>188</v>
      </c>
      <c r="AF4" s="39" t="s">
        <v>189</v>
      </c>
      <c r="AG4" s="39" t="s">
        <v>190</v>
      </c>
      <c r="AH4" s="39" t="s">
        <v>191</v>
      </c>
      <c r="AI4" s="39" t="s">
        <v>192</v>
      </c>
      <c r="AJ4" s="39" t="s">
        <v>193</v>
      </c>
      <c r="AK4" s="39" t="s">
        <v>194</v>
      </c>
      <c r="AL4" s="39" t="s">
        <v>195</v>
      </c>
    </row>
    <row r="5" spans="1:38" x14ac:dyDescent="0.2">
      <c r="A5" s="40">
        <v>0</v>
      </c>
      <c r="B5" s="41">
        <f t="shared" ref="B5:B41" si="0">IF($A5=0,0,INT(($A5-1)/12)+1)</f>
        <v>0</v>
      </c>
      <c r="C5" s="42">
        <f>IF($A5=0,0,IF(OR(Inputs!$B$38&lt;=1,$A5&gt;=Inputs!$B$38),Inputs!$B$37,Inputs!$B$36+(Inputs!$B$37-Inputs!$B$36)*($A5-1)/(Inputs!$B$38-1)))</f>
        <v>0</v>
      </c>
      <c r="D5" s="43">
        <f>ROUNDDOWN(INT(Inputs!$B$7)*C5+0.000000001,0)</f>
        <v>0</v>
      </c>
      <c r="E5" s="44">
        <f>IF($A5=0,0,Inputs!$B$28*(1+Inputs!$B$29)^($B5-1))</f>
        <v>0</v>
      </c>
      <c r="F5" s="44">
        <f t="shared" ref="F5:F41" si="1">D5*E5</f>
        <v>0</v>
      </c>
      <c r="G5" s="44">
        <f>IF($A5&lt;=MAX(Inputs!$B$12,0),0,Inputs!$B$6*Inputs!$B$10*(1+Inputs!$B$13)^($B5-1))</f>
        <v>0</v>
      </c>
      <c r="H5" s="44">
        <f>IF($A5=0,0,Inputs!$B$6*Inputs!$B$11*(1+Inputs!$B$13)^($B5-1))</f>
        <v>0</v>
      </c>
      <c r="I5" s="44">
        <f>IF($A5=0,0,Inputs!$B$41*(1+Inputs!$B$51)^($B5-1))</f>
        <v>0</v>
      </c>
      <c r="J5" s="44">
        <f>IF($A5=0,0,Inputs!$B$42*(1+Inputs!$B$51)^($B5-1))</f>
        <v>0</v>
      </c>
      <c r="K5" s="44">
        <f>IF($A5=0,0,Inputs!$B$43*(1+Inputs!$B$51)^($B5-1))</f>
        <v>0</v>
      </c>
      <c r="L5" s="44">
        <f>IF($A5=0,0,Inputs!$B$44*(1+Inputs!$B$51)^($B5-1))</f>
        <v>0</v>
      </c>
      <c r="M5" s="44">
        <f>IF($A5=0,0,Inputs!$B$45*(1+Inputs!$B$51)^($B5-1))</f>
        <v>0</v>
      </c>
      <c r="N5" s="44">
        <f>IF($A5=0,0,Inputs!$B$46*(1+Inputs!$B$51)^($B5-1))</f>
        <v>0</v>
      </c>
      <c r="O5" s="44">
        <f>IF($A5=0,0,Inputs!$B$47*(1+Inputs!$B$51)^($B5-1))</f>
        <v>0</v>
      </c>
      <c r="P5" s="44">
        <f>IF($A5=0,0,Inputs!$B$48*(1+Inputs!$B$51)^($B5-1))</f>
        <v>0</v>
      </c>
      <c r="Q5" s="44">
        <f>IF($A5=0,0,Inputs!$B$50*(1+Inputs!$B$51)^($B5-1))</f>
        <v>0</v>
      </c>
      <c r="R5" s="44">
        <f t="shared" ref="R5:R41" si="2">D5*Q5</f>
        <v>0</v>
      </c>
      <c r="S5" s="44">
        <f t="shared" ref="S5:S41" si="3">SUM(G5:P5)+R5</f>
        <v>0</v>
      </c>
      <c r="T5" s="21">
        <f t="shared" ref="T5:T41" si="4">F5-S5</f>
        <v>0</v>
      </c>
      <c r="U5" s="42" t="str">
        <f t="shared" ref="U5:U41" si="5">IF(F5=0,"",T5/F5)</f>
        <v/>
      </c>
      <c r="V5" s="44">
        <f>F5*MAX(0,1-(MIN(MAX(Inputs!$B$33,0),60)/30))+0*MAX(0,1-ABS((MIN(MAX(Inputs!$B$33,0),60)/30)-1))+0*MAX(0,(MIN(MAX(Inputs!$B$33,0),60)/30)-1)</f>
        <v>0</v>
      </c>
      <c r="W5" s="44">
        <f t="shared" ref="W5:W41" si="6">S5</f>
        <v>0</v>
      </c>
      <c r="X5" s="44">
        <f>IF($A5=0,Inputs!$B$56+Inputs!$B$19,0)</f>
        <v>19000000</v>
      </c>
      <c r="Y5" s="44">
        <f>IF($A5=0,Inputs!$B$58,0)</f>
        <v>3900000</v>
      </c>
      <c r="Z5" s="44">
        <f t="shared" ref="Z5:Z41" si="7">V5-W5-X5-Y5</f>
        <v>-22900000</v>
      </c>
      <c r="AA5" s="44">
        <f>F5*Inputs!$B$32</f>
        <v>0</v>
      </c>
      <c r="AB5" s="44">
        <f>AA5</f>
        <v>0</v>
      </c>
      <c r="AC5" s="44">
        <f t="shared" ref="AC5:AC41" si="8">Z5+AB5</f>
        <v>-22900000</v>
      </c>
      <c r="AD5" s="21">
        <f>Z5</f>
        <v>-22900000</v>
      </c>
      <c r="AE5" s="44">
        <f>AC5</f>
        <v>-22900000</v>
      </c>
      <c r="AF5" s="44">
        <f>AD5+SUM(Y$5:Y5)</f>
        <v>-19000000</v>
      </c>
      <c r="AG5" s="41" t="str">
        <f>IF(AND($A5&gt;=1,COUNTIF(T5:T$41,"&lt;0")=0),$A5,"")</f>
        <v/>
      </c>
      <c r="AH5" s="41" t="str">
        <f t="shared" ref="AH5:AH41" si="9">IF(AND($A5&gt;=1,AD5&gt;=0),$A5,"")</f>
        <v/>
      </c>
      <c r="AI5" s="41" t="str">
        <f t="shared" ref="AI5:AI41" si="10">IF(AND($A5&gt;=1,AF5&gt;=0),$A5,"")</f>
        <v/>
      </c>
      <c r="AJ5" s="45">
        <f t="shared" ref="AJ5:AJ41" si="11">F5/100000</f>
        <v>0</v>
      </c>
      <c r="AK5" s="45">
        <f t="shared" ref="AK5:AK41" si="12">S5/100000</f>
        <v>0</v>
      </c>
      <c r="AL5" s="45">
        <f t="shared" ref="AL5:AL41" si="13">AD5/100000</f>
        <v>-229</v>
      </c>
    </row>
    <row r="6" spans="1:38" x14ac:dyDescent="0.2">
      <c r="A6" s="46">
        <v>1</v>
      </c>
      <c r="B6" s="47">
        <f t="shared" si="0"/>
        <v>1</v>
      </c>
      <c r="C6" s="48">
        <f>IF($A6=0,0,IF(OR(Inputs!$B$38&lt;=1,$A6&gt;=Inputs!$B$38),Inputs!$B$37,Inputs!$B$36+(Inputs!$B$37-Inputs!$B$36)*($A6-1)/(Inputs!$B$38-1)))</f>
        <v>0.25</v>
      </c>
      <c r="D6" s="49">
        <f>ROUNDDOWN(INT(Inputs!$B$7)*C6+0.000000001,0)</f>
        <v>50</v>
      </c>
      <c r="E6" s="50">
        <f>IF($A6=0,0,Inputs!$B$28*(1+Inputs!$B$29)^($B6-1))</f>
        <v>12000</v>
      </c>
      <c r="F6" s="50">
        <f t="shared" si="1"/>
        <v>600000</v>
      </c>
      <c r="G6" s="50">
        <f>IF($A6&lt;=MAX(Inputs!$B$12,0),0,Inputs!$B$6*Inputs!$B$10*(1+Inputs!$B$13)^($B6-1))</f>
        <v>0</v>
      </c>
      <c r="H6" s="50">
        <f>IF($A6=0,0,Inputs!$B$6*Inputs!$B$11*(1+Inputs!$B$13)^($B6-1))</f>
        <v>120000</v>
      </c>
      <c r="I6" s="50">
        <f>IF($A6=0,0,Inputs!$B$41*(1+Inputs!$B$51)^($B6-1))</f>
        <v>140000</v>
      </c>
      <c r="J6" s="50">
        <f>IF($A6=0,0,Inputs!$B$42*(1+Inputs!$B$51)^($B6-1))</f>
        <v>60000</v>
      </c>
      <c r="K6" s="50">
        <f>IF($A6=0,0,Inputs!$B$43*(1+Inputs!$B$51)^($B6-1))</f>
        <v>35000</v>
      </c>
      <c r="L6" s="50">
        <f>IF($A6=0,0,Inputs!$B$44*(1+Inputs!$B$51)^($B6-1))</f>
        <v>20000</v>
      </c>
      <c r="M6" s="50">
        <f>IF($A6=0,0,Inputs!$B$45*(1+Inputs!$B$51)^($B6-1))</f>
        <v>15000</v>
      </c>
      <c r="N6" s="50">
        <f>IF($A6=0,0,Inputs!$B$46*(1+Inputs!$B$51)^($B6-1))</f>
        <v>10000</v>
      </c>
      <c r="O6" s="50">
        <f>IF($A6=0,0,Inputs!$B$47*(1+Inputs!$B$51)^($B6-1))</f>
        <v>12000</v>
      </c>
      <c r="P6" s="50">
        <f>IF($A6=0,0,Inputs!$B$48*(1+Inputs!$B$51)^($B6-1))</f>
        <v>8000</v>
      </c>
      <c r="Q6" s="50">
        <f>IF($A6=0,0,Inputs!$B$50*(1+Inputs!$B$51)^($B6-1))</f>
        <v>1500</v>
      </c>
      <c r="R6" s="50">
        <f t="shared" si="2"/>
        <v>75000</v>
      </c>
      <c r="S6" s="50">
        <f t="shared" si="3"/>
        <v>495000</v>
      </c>
      <c r="T6" s="51">
        <f t="shared" si="4"/>
        <v>105000</v>
      </c>
      <c r="U6" s="48">
        <f t="shared" si="5"/>
        <v>0.17499999999999999</v>
      </c>
      <c r="V6" s="50">
        <f>F6*MAX(0,1-(MIN(MAX(Inputs!$B$33,0),60)/30))+F5*MAX(0,1-ABS((MIN(MAX(Inputs!$B$33,0),60)/30)-1))+0*MAX(0,(MIN(MAX(Inputs!$B$33,0),60)/30)-1)</f>
        <v>300000</v>
      </c>
      <c r="W6" s="50">
        <f t="shared" si="6"/>
        <v>495000</v>
      </c>
      <c r="X6" s="50">
        <f>IF($A6=0,Inputs!$B$56+Inputs!$B$19,0)</f>
        <v>0</v>
      </c>
      <c r="Y6" s="50">
        <f>IF($A6=0,Inputs!$B$58,0)</f>
        <v>0</v>
      </c>
      <c r="Z6" s="50">
        <f t="shared" si="7"/>
        <v>-195000</v>
      </c>
      <c r="AA6" s="50">
        <f>F6*Inputs!$B$32</f>
        <v>1200000</v>
      </c>
      <c r="AB6" s="50">
        <f t="shared" ref="AB6:AB41" si="14">AA6-AA5</f>
        <v>1200000</v>
      </c>
      <c r="AC6" s="50">
        <f t="shared" si="8"/>
        <v>1005000</v>
      </c>
      <c r="AD6" s="51">
        <f t="shared" ref="AD6:AD41" si="15">AD5+Z6</f>
        <v>-23095000</v>
      </c>
      <c r="AE6" s="50">
        <f t="shared" ref="AE6:AE41" si="16">AE5+AC6</f>
        <v>-21895000</v>
      </c>
      <c r="AF6" s="50">
        <f>AD6+SUM(Y$5:Y6)</f>
        <v>-19195000</v>
      </c>
      <c r="AG6" s="47" t="str">
        <f>IF(AND($A6&gt;=1,COUNTIF(T6:T$41,"&lt;0")=0),$A6,"")</f>
        <v/>
      </c>
      <c r="AH6" s="47" t="str">
        <f t="shared" si="9"/>
        <v/>
      </c>
      <c r="AI6" s="47" t="str">
        <f t="shared" si="10"/>
        <v/>
      </c>
      <c r="AJ6" s="52">
        <f t="shared" si="11"/>
        <v>6</v>
      </c>
      <c r="AK6" s="52">
        <f t="shared" si="12"/>
        <v>4.95</v>
      </c>
      <c r="AL6" s="52">
        <f t="shared" si="13"/>
        <v>-230.95</v>
      </c>
    </row>
    <row r="7" spans="1:38" x14ac:dyDescent="0.2">
      <c r="A7" s="46">
        <v>2</v>
      </c>
      <c r="B7" s="47">
        <f t="shared" si="0"/>
        <v>1</v>
      </c>
      <c r="C7" s="48">
        <f>IF($A7=0,0,IF(OR(Inputs!$B$38&lt;=1,$A7&gt;=Inputs!$B$38),Inputs!$B$37,Inputs!$B$36+(Inputs!$B$37-Inputs!$B$36)*($A7-1)/(Inputs!$B$38-1)))</f>
        <v>0.30454545454545456</v>
      </c>
      <c r="D7" s="49">
        <f>ROUNDDOWN(INT(Inputs!$B$7)*C7+0.000000001,0)</f>
        <v>60</v>
      </c>
      <c r="E7" s="50">
        <f>IF($A7=0,0,Inputs!$B$28*(1+Inputs!$B$29)^($B7-1))</f>
        <v>12000</v>
      </c>
      <c r="F7" s="50">
        <f t="shared" si="1"/>
        <v>720000</v>
      </c>
      <c r="G7" s="50">
        <f>IF($A7&lt;=MAX(Inputs!$B$12,0),0,Inputs!$B$6*Inputs!$B$10*(1+Inputs!$B$13)^($B7-1))</f>
        <v>0</v>
      </c>
      <c r="H7" s="50">
        <f>IF($A7=0,0,Inputs!$B$6*Inputs!$B$11*(1+Inputs!$B$13)^($B7-1))</f>
        <v>120000</v>
      </c>
      <c r="I7" s="50">
        <f>IF($A7=0,0,Inputs!$B$41*(1+Inputs!$B$51)^($B7-1))</f>
        <v>140000</v>
      </c>
      <c r="J7" s="50">
        <f>IF($A7=0,0,Inputs!$B$42*(1+Inputs!$B$51)^($B7-1))</f>
        <v>60000</v>
      </c>
      <c r="K7" s="50">
        <f>IF($A7=0,0,Inputs!$B$43*(1+Inputs!$B$51)^($B7-1))</f>
        <v>35000</v>
      </c>
      <c r="L7" s="50">
        <f>IF($A7=0,0,Inputs!$B$44*(1+Inputs!$B$51)^($B7-1))</f>
        <v>20000</v>
      </c>
      <c r="M7" s="50">
        <f>IF($A7=0,0,Inputs!$B$45*(1+Inputs!$B$51)^($B7-1))</f>
        <v>15000</v>
      </c>
      <c r="N7" s="50">
        <f>IF($A7=0,0,Inputs!$B$46*(1+Inputs!$B$51)^($B7-1))</f>
        <v>10000</v>
      </c>
      <c r="O7" s="50">
        <f>IF($A7=0,0,Inputs!$B$47*(1+Inputs!$B$51)^($B7-1))</f>
        <v>12000</v>
      </c>
      <c r="P7" s="50">
        <f>IF($A7=0,0,Inputs!$B$48*(1+Inputs!$B$51)^($B7-1))</f>
        <v>8000</v>
      </c>
      <c r="Q7" s="50">
        <f>IF($A7=0,0,Inputs!$B$50*(1+Inputs!$B$51)^($B7-1))</f>
        <v>1500</v>
      </c>
      <c r="R7" s="50">
        <f t="shared" si="2"/>
        <v>90000</v>
      </c>
      <c r="S7" s="50">
        <f t="shared" si="3"/>
        <v>510000</v>
      </c>
      <c r="T7" s="51">
        <f t="shared" si="4"/>
        <v>210000</v>
      </c>
      <c r="U7" s="48">
        <f t="shared" si="5"/>
        <v>0.29166666666666669</v>
      </c>
      <c r="V7" s="50">
        <f>F7*MAX(0,1-(MIN(MAX(Inputs!$B$33,0),60)/30))+F6*MAX(0,1-ABS((MIN(MAX(Inputs!$B$33,0),60)/30)-1))+F5*MAX(0,(MIN(MAX(Inputs!$B$33,0),60)/30)-1)</f>
        <v>660000</v>
      </c>
      <c r="W7" s="50">
        <f t="shared" si="6"/>
        <v>510000</v>
      </c>
      <c r="X7" s="50">
        <f>IF($A7=0,Inputs!$B$56+Inputs!$B$19,0)</f>
        <v>0</v>
      </c>
      <c r="Y7" s="50">
        <f>IF($A7=0,Inputs!$B$58,0)</f>
        <v>0</v>
      </c>
      <c r="Z7" s="50">
        <f t="shared" si="7"/>
        <v>150000</v>
      </c>
      <c r="AA7" s="50">
        <f>F7*Inputs!$B$32</f>
        <v>1440000</v>
      </c>
      <c r="AB7" s="50">
        <f t="shared" si="14"/>
        <v>240000</v>
      </c>
      <c r="AC7" s="50">
        <f t="shared" si="8"/>
        <v>390000</v>
      </c>
      <c r="AD7" s="51">
        <f t="shared" si="15"/>
        <v>-22945000</v>
      </c>
      <c r="AE7" s="50">
        <f t="shared" si="16"/>
        <v>-21505000</v>
      </c>
      <c r="AF7" s="50">
        <f>AD7+SUM(Y$5:Y7)</f>
        <v>-19045000</v>
      </c>
      <c r="AG7" s="47" t="str">
        <f>IF(AND($A7&gt;=1,COUNTIF(T7:T$41,"&lt;0")=0),$A7,"")</f>
        <v/>
      </c>
      <c r="AH7" s="47" t="str">
        <f t="shared" si="9"/>
        <v/>
      </c>
      <c r="AI7" s="47" t="str">
        <f t="shared" si="10"/>
        <v/>
      </c>
      <c r="AJ7" s="52">
        <f t="shared" si="11"/>
        <v>7.2</v>
      </c>
      <c r="AK7" s="52">
        <f t="shared" si="12"/>
        <v>5.0999999999999996</v>
      </c>
      <c r="AL7" s="52">
        <f t="shared" si="13"/>
        <v>-229.45</v>
      </c>
    </row>
    <row r="8" spans="1:38" x14ac:dyDescent="0.2">
      <c r="A8" s="46">
        <v>3</v>
      </c>
      <c r="B8" s="47">
        <f t="shared" si="0"/>
        <v>1</v>
      </c>
      <c r="C8" s="48">
        <f>IF($A8=0,0,IF(OR(Inputs!$B$38&lt;=1,$A8&gt;=Inputs!$B$38),Inputs!$B$37,Inputs!$B$36+(Inputs!$B$37-Inputs!$B$36)*($A8-1)/(Inputs!$B$38-1)))</f>
        <v>0.35909090909090907</v>
      </c>
      <c r="D8" s="49">
        <f>ROUNDDOWN(INT(Inputs!$B$7)*C8+0.000000001,0)</f>
        <v>71</v>
      </c>
      <c r="E8" s="50">
        <f>IF($A8=0,0,Inputs!$B$28*(1+Inputs!$B$29)^($B8-1))</f>
        <v>12000</v>
      </c>
      <c r="F8" s="50">
        <f t="shared" si="1"/>
        <v>852000</v>
      </c>
      <c r="G8" s="50">
        <f>IF($A8&lt;=MAX(Inputs!$B$12,0),0,Inputs!$B$6*Inputs!$B$10*(1+Inputs!$B$13)^($B8-1))</f>
        <v>650000</v>
      </c>
      <c r="H8" s="50">
        <f>IF($A8=0,0,Inputs!$B$6*Inputs!$B$11*(1+Inputs!$B$13)^($B8-1))</f>
        <v>120000</v>
      </c>
      <c r="I8" s="50">
        <f>IF($A8=0,0,Inputs!$B$41*(1+Inputs!$B$51)^($B8-1))</f>
        <v>140000</v>
      </c>
      <c r="J8" s="50">
        <f>IF($A8=0,0,Inputs!$B$42*(1+Inputs!$B$51)^($B8-1))</f>
        <v>60000</v>
      </c>
      <c r="K8" s="50">
        <f>IF($A8=0,0,Inputs!$B$43*(1+Inputs!$B$51)^($B8-1))</f>
        <v>35000</v>
      </c>
      <c r="L8" s="50">
        <f>IF($A8=0,0,Inputs!$B$44*(1+Inputs!$B$51)^($B8-1))</f>
        <v>20000</v>
      </c>
      <c r="M8" s="50">
        <f>IF($A8=0,0,Inputs!$B$45*(1+Inputs!$B$51)^($B8-1))</f>
        <v>15000</v>
      </c>
      <c r="N8" s="50">
        <f>IF($A8=0,0,Inputs!$B$46*(1+Inputs!$B$51)^($B8-1))</f>
        <v>10000</v>
      </c>
      <c r="O8" s="50">
        <f>IF($A8=0,0,Inputs!$B$47*(1+Inputs!$B$51)^($B8-1))</f>
        <v>12000</v>
      </c>
      <c r="P8" s="50">
        <f>IF($A8=0,0,Inputs!$B$48*(1+Inputs!$B$51)^($B8-1))</f>
        <v>8000</v>
      </c>
      <c r="Q8" s="50">
        <f>IF($A8=0,0,Inputs!$B$50*(1+Inputs!$B$51)^($B8-1))</f>
        <v>1500</v>
      </c>
      <c r="R8" s="50">
        <f t="shared" si="2"/>
        <v>106500</v>
      </c>
      <c r="S8" s="50">
        <f t="shared" si="3"/>
        <v>1176500</v>
      </c>
      <c r="T8" s="51">
        <f t="shared" si="4"/>
        <v>-324500</v>
      </c>
      <c r="U8" s="48">
        <f t="shared" si="5"/>
        <v>-0.38086854460093894</v>
      </c>
      <c r="V8" s="50">
        <f>F8*MAX(0,1-(MIN(MAX(Inputs!$B$33,0),60)/30))+F7*MAX(0,1-ABS((MIN(MAX(Inputs!$B$33,0),60)/30)-1))+F6*MAX(0,(MIN(MAX(Inputs!$B$33,0),60)/30)-1)</f>
        <v>786000</v>
      </c>
      <c r="W8" s="50">
        <f t="shared" si="6"/>
        <v>1176500</v>
      </c>
      <c r="X8" s="50">
        <f>IF($A8=0,Inputs!$B$56+Inputs!$B$19,0)</f>
        <v>0</v>
      </c>
      <c r="Y8" s="50">
        <f>IF($A8=0,Inputs!$B$58,0)</f>
        <v>0</v>
      </c>
      <c r="Z8" s="50">
        <f t="shared" si="7"/>
        <v>-390500</v>
      </c>
      <c r="AA8" s="50">
        <f>F8*Inputs!$B$32</f>
        <v>1704000</v>
      </c>
      <c r="AB8" s="50">
        <f t="shared" si="14"/>
        <v>264000</v>
      </c>
      <c r="AC8" s="50">
        <f t="shared" si="8"/>
        <v>-126500</v>
      </c>
      <c r="AD8" s="51">
        <f t="shared" si="15"/>
        <v>-23335500</v>
      </c>
      <c r="AE8" s="50">
        <f t="shared" si="16"/>
        <v>-21631500</v>
      </c>
      <c r="AF8" s="50">
        <f>AD8+SUM(Y$5:Y8)</f>
        <v>-19435500</v>
      </c>
      <c r="AG8" s="47" t="str">
        <f>IF(AND($A8&gt;=1,COUNTIF(T8:T$41,"&lt;0")=0),$A8,"")</f>
        <v/>
      </c>
      <c r="AH8" s="47" t="str">
        <f t="shared" si="9"/>
        <v/>
      </c>
      <c r="AI8" s="47" t="str">
        <f t="shared" si="10"/>
        <v/>
      </c>
      <c r="AJ8" s="52">
        <f t="shared" si="11"/>
        <v>8.52</v>
      </c>
      <c r="AK8" s="52">
        <f t="shared" si="12"/>
        <v>11.765000000000001</v>
      </c>
      <c r="AL8" s="52">
        <f t="shared" si="13"/>
        <v>-233.35499999999999</v>
      </c>
    </row>
    <row r="9" spans="1:38" x14ac:dyDescent="0.2">
      <c r="A9" s="46">
        <v>4</v>
      </c>
      <c r="B9" s="47">
        <f t="shared" si="0"/>
        <v>1</v>
      </c>
      <c r="C9" s="48">
        <f>IF($A9=0,0,IF(OR(Inputs!$B$38&lt;=1,$A9&gt;=Inputs!$B$38),Inputs!$B$37,Inputs!$B$36+(Inputs!$B$37-Inputs!$B$36)*($A9-1)/(Inputs!$B$38-1)))</f>
        <v>0.41363636363636358</v>
      </c>
      <c r="D9" s="49">
        <f>ROUNDDOWN(INT(Inputs!$B$7)*C9+0.000000001,0)</f>
        <v>82</v>
      </c>
      <c r="E9" s="50">
        <f>IF($A9=0,0,Inputs!$B$28*(1+Inputs!$B$29)^($B9-1))</f>
        <v>12000</v>
      </c>
      <c r="F9" s="50">
        <f t="shared" si="1"/>
        <v>984000</v>
      </c>
      <c r="G9" s="50">
        <f>IF($A9&lt;=MAX(Inputs!$B$12,0),0,Inputs!$B$6*Inputs!$B$10*(1+Inputs!$B$13)^($B9-1))</f>
        <v>650000</v>
      </c>
      <c r="H9" s="50">
        <f>IF($A9=0,0,Inputs!$B$6*Inputs!$B$11*(1+Inputs!$B$13)^($B9-1))</f>
        <v>120000</v>
      </c>
      <c r="I9" s="50">
        <f>IF($A9=0,0,Inputs!$B$41*(1+Inputs!$B$51)^($B9-1))</f>
        <v>140000</v>
      </c>
      <c r="J9" s="50">
        <f>IF($A9=0,0,Inputs!$B$42*(1+Inputs!$B$51)^($B9-1))</f>
        <v>60000</v>
      </c>
      <c r="K9" s="50">
        <f>IF($A9=0,0,Inputs!$B$43*(1+Inputs!$B$51)^($B9-1))</f>
        <v>35000</v>
      </c>
      <c r="L9" s="50">
        <f>IF($A9=0,0,Inputs!$B$44*(1+Inputs!$B$51)^($B9-1))</f>
        <v>20000</v>
      </c>
      <c r="M9" s="50">
        <f>IF($A9=0,0,Inputs!$B$45*(1+Inputs!$B$51)^($B9-1))</f>
        <v>15000</v>
      </c>
      <c r="N9" s="50">
        <f>IF($A9=0,0,Inputs!$B$46*(1+Inputs!$B$51)^($B9-1))</f>
        <v>10000</v>
      </c>
      <c r="O9" s="50">
        <f>IF($A9=0,0,Inputs!$B$47*(1+Inputs!$B$51)^($B9-1))</f>
        <v>12000</v>
      </c>
      <c r="P9" s="50">
        <f>IF($A9=0,0,Inputs!$B$48*(1+Inputs!$B$51)^($B9-1))</f>
        <v>8000</v>
      </c>
      <c r="Q9" s="50">
        <f>IF($A9=0,0,Inputs!$B$50*(1+Inputs!$B$51)^($B9-1))</f>
        <v>1500</v>
      </c>
      <c r="R9" s="50">
        <f t="shared" si="2"/>
        <v>123000</v>
      </c>
      <c r="S9" s="50">
        <f t="shared" si="3"/>
        <v>1193000</v>
      </c>
      <c r="T9" s="51">
        <f t="shared" si="4"/>
        <v>-209000</v>
      </c>
      <c r="U9" s="48">
        <f t="shared" si="5"/>
        <v>-0.21239837398373984</v>
      </c>
      <c r="V9" s="50">
        <f>F9*MAX(0,1-(MIN(MAX(Inputs!$B$33,0),60)/30))+F8*MAX(0,1-ABS((MIN(MAX(Inputs!$B$33,0),60)/30)-1))+F7*MAX(0,(MIN(MAX(Inputs!$B$33,0),60)/30)-1)</f>
        <v>918000</v>
      </c>
      <c r="W9" s="50">
        <f t="shared" si="6"/>
        <v>1193000</v>
      </c>
      <c r="X9" s="50">
        <f>IF($A9=0,Inputs!$B$56+Inputs!$B$19,0)</f>
        <v>0</v>
      </c>
      <c r="Y9" s="50">
        <f>IF($A9=0,Inputs!$B$58,0)</f>
        <v>0</v>
      </c>
      <c r="Z9" s="50">
        <f t="shared" si="7"/>
        <v>-275000</v>
      </c>
      <c r="AA9" s="50">
        <f>F9*Inputs!$B$32</f>
        <v>1968000</v>
      </c>
      <c r="AB9" s="50">
        <f t="shared" si="14"/>
        <v>264000</v>
      </c>
      <c r="AC9" s="50">
        <f t="shared" si="8"/>
        <v>-11000</v>
      </c>
      <c r="AD9" s="51">
        <f t="shared" si="15"/>
        <v>-23610500</v>
      </c>
      <c r="AE9" s="50">
        <f t="shared" si="16"/>
        <v>-21642500</v>
      </c>
      <c r="AF9" s="50">
        <f>AD9+SUM(Y$5:Y9)</f>
        <v>-19710500</v>
      </c>
      <c r="AG9" s="47" t="str">
        <f>IF(AND($A9&gt;=1,COUNTIF(T9:T$41,"&lt;0")=0),$A9,"")</f>
        <v/>
      </c>
      <c r="AH9" s="47" t="str">
        <f t="shared" si="9"/>
        <v/>
      </c>
      <c r="AI9" s="47" t="str">
        <f t="shared" si="10"/>
        <v/>
      </c>
      <c r="AJ9" s="52">
        <f t="shared" si="11"/>
        <v>9.84</v>
      </c>
      <c r="AK9" s="52">
        <f t="shared" si="12"/>
        <v>11.93</v>
      </c>
      <c r="AL9" s="52">
        <f t="shared" si="13"/>
        <v>-236.10499999999999</v>
      </c>
    </row>
    <row r="10" spans="1:38" x14ac:dyDescent="0.2">
      <c r="A10" s="46">
        <v>5</v>
      </c>
      <c r="B10" s="47">
        <f t="shared" si="0"/>
        <v>1</v>
      </c>
      <c r="C10" s="48">
        <f>IF($A10=0,0,IF(OR(Inputs!$B$38&lt;=1,$A10&gt;=Inputs!$B$38),Inputs!$B$37,Inputs!$B$36+(Inputs!$B$37-Inputs!$B$36)*($A10-1)/(Inputs!$B$38-1)))</f>
        <v>0.46818181818181814</v>
      </c>
      <c r="D10" s="49">
        <f>ROUNDDOWN(INT(Inputs!$B$7)*C10+0.000000001,0)</f>
        <v>93</v>
      </c>
      <c r="E10" s="50">
        <f>IF($A10=0,0,Inputs!$B$28*(1+Inputs!$B$29)^($B10-1))</f>
        <v>12000</v>
      </c>
      <c r="F10" s="50">
        <f t="shared" si="1"/>
        <v>1116000</v>
      </c>
      <c r="G10" s="50">
        <f>IF($A10&lt;=MAX(Inputs!$B$12,0),0,Inputs!$B$6*Inputs!$B$10*(1+Inputs!$B$13)^($B10-1))</f>
        <v>650000</v>
      </c>
      <c r="H10" s="50">
        <f>IF($A10=0,0,Inputs!$B$6*Inputs!$B$11*(1+Inputs!$B$13)^($B10-1))</f>
        <v>120000</v>
      </c>
      <c r="I10" s="50">
        <f>IF($A10=0,0,Inputs!$B$41*(1+Inputs!$B$51)^($B10-1))</f>
        <v>140000</v>
      </c>
      <c r="J10" s="50">
        <f>IF($A10=0,0,Inputs!$B$42*(1+Inputs!$B$51)^($B10-1))</f>
        <v>60000</v>
      </c>
      <c r="K10" s="50">
        <f>IF($A10=0,0,Inputs!$B$43*(1+Inputs!$B$51)^($B10-1))</f>
        <v>35000</v>
      </c>
      <c r="L10" s="50">
        <f>IF($A10=0,0,Inputs!$B$44*(1+Inputs!$B$51)^($B10-1))</f>
        <v>20000</v>
      </c>
      <c r="M10" s="50">
        <f>IF($A10=0,0,Inputs!$B$45*(1+Inputs!$B$51)^($B10-1))</f>
        <v>15000</v>
      </c>
      <c r="N10" s="50">
        <f>IF($A10=0,0,Inputs!$B$46*(1+Inputs!$B$51)^($B10-1))</f>
        <v>10000</v>
      </c>
      <c r="O10" s="50">
        <f>IF($A10=0,0,Inputs!$B$47*(1+Inputs!$B$51)^($B10-1))</f>
        <v>12000</v>
      </c>
      <c r="P10" s="50">
        <f>IF($A10=0,0,Inputs!$B$48*(1+Inputs!$B$51)^($B10-1))</f>
        <v>8000</v>
      </c>
      <c r="Q10" s="50">
        <f>IF($A10=0,0,Inputs!$B$50*(1+Inputs!$B$51)^($B10-1))</f>
        <v>1500</v>
      </c>
      <c r="R10" s="50">
        <f t="shared" si="2"/>
        <v>139500</v>
      </c>
      <c r="S10" s="50">
        <f t="shared" si="3"/>
        <v>1209500</v>
      </c>
      <c r="T10" s="51">
        <f t="shared" si="4"/>
        <v>-93500</v>
      </c>
      <c r="U10" s="48">
        <f t="shared" si="5"/>
        <v>-8.3781362007168458E-2</v>
      </c>
      <c r="V10" s="50">
        <f>F10*MAX(0,1-(MIN(MAX(Inputs!$B$33,0),60)/30))+F9*MAX(0,1-ABS((MIN(MAX(Inputs!$B$33,0),60)/30)-1))+F8*MAX(0,(MIN(MAX(Inputs!$B$33,0),60)/30)-1)</f>
        <v>1050000</v>
      </c>
      <c r="W10" s="50">
        <f t="shared" si="6"/>
        <v>1209500</v>
      </c>
      <c r="X10" s="50">
        <f>IF($A10=0,Inputs!$B$56+Inputs!$B$19,0)</f>
        <v>0</v>
      </c>
      <c r="Y10" s="50">
        <f>IF($A10=0,Inputs!$B$58,0)</f>
        <v>0</v>
      </c>
      <c r="Z10" s="50">
        <f t="shared" si="7"/>
        <v>-159500</v>
      </c>
      <c r="AA10" s="50">
        <f>F10*Inputs!$B$32</f>
        <v>2232000</v>
      </c>
      <c r="AB10" s="50">
        <f t="shared" si="14"/>
        <v>264000</v>
      </c>
      <c r="AC10" s="50">
        <f t="shared" si="8"/>
        <v>104500</v>
      </c>
      <c r="AD10" s="51">
        <f t="shared" si="15"/>
        <v>-23770000</v>
      </c>
      <c r="AE10" s="50">
        <f t="shared" si="16"/>
        <v>-21538000</v>
      </c>
      <c r="AF10" s="50">
        <f>AD10+SUM(Y$5:Y10)</f>
        <v>-19870000</v>
      </c>
      <c r="AG10" s="47" t="str">
        <f>IF(AND($A10&gt;=1,COUNTIF(T10:T$41,"&lt;0")=0),$A10,"")</f>
        <v/>
      </c>
      <c r="AH10" s="47" t="str">
        <f t="shared" si="9"/>
        <v/>
      </c>
      <c r="AI10" s="47" t="str">
        <f t="shared" si="10"/>
        <v/>
      </c>
      <c r="AJ10" s="52">
        <f t="shared" si="11"/>
        <v>11.16</v>
      </c>
      <c r="AK10" s="52">
        <f t="shared" si="12"/>
        <v>12.095000000000001</v>
      </c>
      <c r="AL10" s="52">
        <f t="shared" si="13"/>
        <v>-237.7</v>
      </c>
    </row>
    <row r="11" spans="1:38" x14ac:dyDescent="0.2">
      <c r="A11" s="46">
        <v>6</v>
      </c>
      <c r="B11" s="47">
        <f t="shared" si="0"/>
        <v>1</v>
      </c>
      <c r="C11" s="48">
        <f>IF($A11=0,0,IF(OR(Inputs!$B$38&lt;=1,$A11&gt;=Inputs!$B$38),Inputs!$B$37,Inputs!$B$36+(Inputs!$B$37-Inputs!$B$36)*($A11-1)/(Inputs!$B$38-1)))</f>
        <v>0.52272727272727271</v>
      </c>
      <c r="D11" s="49">
        <f>ROUNDDOWN(INT(Inputs!$B$7)*C11+0.000000001,0)</f>
        <v>104</v>
      </c>
      <c r="E11" s="50">
        <f>IF($A11=0,0,Inputs!$B$28*(1+Inputs!$B$29)^($B11-1))</f>
        <v>12000</v>
      </c>
      <c r="F11" s="50">
        <f t="shared" si="1"/>
        <v>1248000</v>
      </c>
      <c r="G11" s="50">
        <f>IF($A11&lt;=MAX(Inputs!$B$12,0),0,Inputs!$B$6*Inputs!$B$10*(1+Inputs!$B$13)^($B11-1))</f>
        <v>650000</v>
      </c>
      <c r="H11" s="50">
        <f>IF($A11=0,0,Inputs!$B$6*Inputs!$B$11*(1+Inputs!$B$13)^($B11-1))</f>
        <v>120000</v>
      </c>
      <c r="I11" s="50">
        <f>IF($A11=0,0,Inputs!$B$41*(1+Inputs!$B$51)^($B11-1))</f>
        <v>140000</v>
      </c>
      <c r="J11" s="50">
        <f>IF($A11=0,0,Inputs!$B$42*(1+Inputs!$B$51)^($B11-1))</f>
        <v>60000</v>
      </c>
      <c r="K11" s="50">
        <f>IF($A11=0,0,Inputs!$B$43*(1+Inputs!$B$51)^($B11-1))</f>
        <v>35000</v>
      </c>
      <c r="L11" s="50">
        <f>IF($A11=0,0,Inputs!$B$44*(1+Inputs!$B$51)^($B11-1))</f>
        <v>20000</v>
      </c>
      <c r="M11" s="50">
        <f>IF($A11=0,0,Inputs!$B$45*(1+Inputs!$B$51)^($B11-1))</f>
        <v>15000</v>
      </c>
      <c r="N11" s="50">
        <f>IF($A11=0,0,Inputs!$B$46*(1+Inputs!$B$51)^($B11-1))</f>
        <v>10000</v>
      </c>
      <c r="O11" s="50">
        <f>IF($A11=0,0,Inputs!$B$47*(1+Inputs!$B$51)^($B11-1))</f>
        <v>12000</v>
      </c>
      <c r="P11" s="50">
        <f>IF($A11=0,0,Inputs!$B$48*(1+Inputs!$B$51)^($B11-1))</f>
        <v>8000</v>
      </c>
      <c r="Q11" s="50">
        <f>IF($A11=0,0,Inputs!$B$50*(1+Inputs!$B$51)^($B11-1))</f>
        <v>1500</v>
      </c>
      <c r="R11" s="50">
        <f t="shared" si="2"/>
        <v>156000</v>
      </c>
      <c r="S11" s="50">
        <f t="shared" si="3"/>
        <v>1226000</v>
      </c>
      <c r="T11" s="51">
        <f t="shared" si="4"/>
        <v>22000</v>
      </c>
      <c r="U11" s="48">
        <f t="shared" si="5"/>
        <v>1.7628205128205128E-2</v>
      </c>
      <c r="V11" s="50">
        <f>F11*MAX(0,1-(MIN(MAX(Inputs!$B$33,0),60)/30))+F10*MAX(0,1-ABS((MIN(MAX(Inputs!$B$33,0),60)/30)-1))+F9*MAX(0,(MIN(MAX(Inputs!$B$33,0),60)/30)-1)</f>
        <v>1182000</v>
      </c>
      <c r="W11" s="50">
        <f t="shared" si="6"/>
        <v>1226000</v>
      </c>
      <c r="X11" s="50">
        <f>IF($A11=0,Inputs!$B$56+Inputs!$B$19,0)</f>
        <v>0</v>
      </c>
      <c r="Y11" s="50">
        <f>IF($A11=0,Inputs!$B$58,0)</f>
        <v>0</v>
      </c>
      <c r="Z11" s="50">
        <f t="shared" si="7"/>
        <v>-44000</v>
      </c>
      <c r="AA11" s="50">
        <f>F11*Inputs!$B$32</f>
        <v>2496000</v>
      </c>
      <c r="AB11" s="50">
        <f t="shared" si="14"/>
        <v>264000</v>
      </c>
      <c r="AC11" s="50">
        <f t="shared" si="8"/>
        <v>220000</v>
      </c>
      <c r="AD11" s="51">
        <f t="shared" si="15"/>
        <v>-23814000</v>
      </c>
      <c r="AE11" s="50">
        <f t="shared" si="16"/>
        <v>-21318000</v>
      </c>
      <c r="AF11" s="50">
        <f>AD11+SUM(Y$5:Y11)</f>
        <v>-19914000</v>
      </c>
      <c r="AG11" s="47">
        <f>IF(AND($A11&gt;=1,COUNTIF(T11:T$41,"&lt;0")=0),$A11,"")</f>
        <v>6</v>
      </c>
      <c r="AH11" s="47" t="str">
        <f t="shared" si="9"/>
        <v/>
      </c>
      <c r="AI11" s="47" t="str">
        <f t="shared" si="10"/>
        <v/>
      </c>
      <c r="AJ11" s="52">
        <f t="shared" si="11"/>
        <v>12.48</v>
      </c>
      <c r="AK11" s="52">
        <f t="shared" si="12"/>
        <v>12.26</v>
      </c>
      <c r="AL11" s="52">
        <f t="shared" si="13"/>
        <v>-238.14</v>
      </c>
    </row>
    <row r="12" spans="1:38" x14ac:dyDescent="0.2">
      <c r="A12" s="46">
        <v>7</v>
      </c>
      <c r="B12" s="47">
        <f t="shared" si="0"/>
        <v>1</v>
      </c>
      <c r="C12" s="48">
        <f>IF($A12=0,0,IF(OR(Inputs!$B$38&lt;=1,$A12&gt;=Inputs!$B$38),Inputs!$B$37,Inputs!$B$36+(Inputs!$B$37-Inputs!$B$36)*($A12-1)/(Inputs!$B$38-1)))</f>
        <v>0.57727272727272716</v>
      </c>
      <c r="D12" s="49">
        <f>ROUNDDOWN(INT(Inputs!$B$7)*C12+0.000000001,0)</f>
        <v>115</v>
      </c>
      <c r="E12" s="50">
        <f>IF($A12=0,0,Inputs!$B$28*(1+Inputs!$B$29)^($B12-1))</f>
        <v>12000</v>
      </c>
      <c r="F12" s="50">
        <f t="shared" si="1"/>
        <v>1380000</v>
      </c>
      <c r="G12" s="50">
        <f>IF($A12&lt;=MAX(Inputs!$B$12,0),0,Inputs!$B$6*Inputs!$B$10*(1+Inputs!$B$13)^($B12-1))</f>
        <v>650000</v>
      </c>
      <c r="H12" s="50">
        <f>IF($A12=0,0,Inputs!$B$6*Inputs!$B$11*(1+Inputs!$B$13)^($B12-1))</f>
        <v>120000</v>
      </c>
      <c r="I12" s="50">
        <f>IF($A12=0,0,Inputs!$B$41*(1+Inputs!$B$51)^($B12-1))</f>
        <v>140000</v>
      </c>
      <c r="J12" s="50">
        <f>IF($A12=0,0,Inputs!$B$42*(1+Inputs!$B$51)^($B12-1))</f>
        <v>60000</v>
      </c>
      <c r="K12" s="50">
        <f>IF($A12=0,0,Inputs!$B$43*(1+Inputs!$B$51)^($B12-1))</f>
        <v>35000</v>
      </c>
      <c r="L12" s="50">
        <f>IF($A12=0,0,Inputs!$B$44*(1+Inputs!$B$51)^($B12-1))</f>
        <v>20000</v>
      </c>
      <c r="M12" s="50">
        <f>IF($A12=0,0,Inputs!$B$45*(1+Inputs!$B$51)^($B12-1))</f>
        <v>15000</v>
      </c>
      <c r="N12" s="50">
        <f>IF($A12=0,0,Inputs!$B$46*(1+Inputs!$B$51)^($B12-1))</f>
        <v>10000</v>
      </c>
      <c r="O12" s="50">
        <f>IF($A12=0,0,Inputs!$B$47*(1+Inputs!$B$51)^($B12-1))</f>
        <v>12000</v>
      </c>
      <c r="P12" s="50">
        <f>IF($A12=0,0,Inputs!$B$48*(1+Inputs!$B$51)^($B12-1))</f>
        <v>8000</v>
      </c>
      <c r="Q12" s="50">
        <f>IF($A12=0,0,Inputs!$B$50*(1+Inputs!$B$51)^($B12-1))</f>
        <v>1500</v>
      </c>
      <c r="R12" s="50">
        <f t="shared" si="2"/>
        <v>172500</v>
      </c>
      <c r="S12" s="50">
        <f t="shared" si="3"/>
        <v>1242500</v>
      </c>
      <c r="T12" s="51">
        <f t="shared" si="4"/>
        <v>137500</v>
      </c>
      <c r="U12" s="48">
        <f t="shared" si="5"/>
        <v>9.9637681159420288E-2</v>
      </c>
      <c r="V12" s="50">
        <f>F12*MAX(0,1-(MIN(MAX(Inputs!$B$33,0),60)/30))+F11*MAX(0,1-ABS((MIN(MAX(Inputs!$B$33,0),60)/30)-1))+F10*MAX(0,(MIN(MAX(Inputs!$B$33,0),60)/30)-1)</f>
        <v>1314000</v>
      </c>
      <c r="W12" s="50">
        <f t="shared" si="6"/>
        <v>1242500</v>
      </c>
      <c r="X12" s="50">
        <f>IF($A12=0,Inputs!$B$56+Inputs!$B$19,0)</f>
        <v>0</v>
      </c>
      <c r="Y12" s="50">
        <f>IF($A12=0,Inputs!$B$58,0)</f>
        <v>0</v>
      </c>
      <c r="Z12" s="50">
        <f t="shared" si="7"/>
        <v>71500</v>
      </c>
      <c r="AA12" s="50">
        <f>F12*Inputs!$B$32</f>
        <v>2760000</v>
      </c>
      <c r="AB12" s="50">
        <f t="shared" si="14"/>
        <v>264000</v>
      </c>
      <c r="AC12" s="50">
        <f t="shared" si="8"/>
        <v>335500</v>
      </c>
      <c r="AD12" s="51">
        <f t="shared" si="15"/>
        <v>-23742500</v>
      </c>
      <c r="AE12" s="50">
        <f t="shared" si="16"/>
        <v>-20982500</v>
      </c>
      <c r="AF12" s="50">
        <f>AD12+SUM(Y$5:Y12)</f>
        <v>-19842500</v>
      </c>
      <c r="AG12" s="47">
        <f>IF(AND($A12&gt;=1,COUNTIF(T12:T$41,"&lt;0")=0),$A12,"")</f>
        <v>7</v>
      </c>
      <c r="AH12" s="47" t="str">
        <f t="shared" si="9"/>
        <v/>
      </c>
      <c r="AI12" s="47" t="str">
        <f t="shared" si="10"/>
        <v/>
      </c>
      <c r="AJ12" s="52">
        <f t="shared" si="11"/>
        <v>13.8</v>
      </c>
      <c r="AK12" s="52">
        <f t="shared" si="12"/>
        <v>12.425000000000001</v>
      </c>
      <c r="AL12" s="52">
        <f t="shared" si="13"/>
        <v>-237.42500000000001</v>
      </c>
    </row>
    <row r="13" spans="1:38" x14ac:dyDescent="0.2">
      <c r="A13" s="46">
        <v>8</v>
      </c>
      <c r="B13" s="47">
        <f t="shared" si="0"/>
        <v>1</v>
      </c>
      <c r="C13" s="48">
        <f>IF($A13=0,0,IF(OR(Inputs!$B$38&lt;=1,$A13&gt;=Inputs!$B$38),Inputs!$B$37,Inputs!$B$36+(Inputs!$B$37-Inputs!$B$36)*($A13-1)/(Inputs!$B$38-1)))</f>
        <v>0.63181818181818183</v>
      </c>
      <c r="D13" s="49">
        <f>ROUNDDOWN(INT(Inputs!$B$7)*C13+0.000000001,0)</f>
        <v>126</v>
      </c>
      <c r="E13" s="50">
        <f>IF($A13=0,0,Inputs!$B$28*(1+Inputs!$B$29)^($B13-1))</f>
        <v>12000</v>
      </c>
      <c r="F13" s="50">
        <f t="shared" si="1"/>
        <v>1512000</v>
      </c>
      <c r="G13" s="50">
        <f>IF($A13&lt;=MAX(Inputs!$B$12,0),0,Inputs!$B$6*Inputs!$B$10*(1+Inputs!$B$13)^($B13-1))</f>
        <v>650000</v>
      </c>
      <c r="H13" s="50">
        <f>IF($A13=0,0,Inputs!$B$6*Inputs!$B$11*(1+Inputs!$B$13)^($B13-1))</f>
        <v>120000</v>
      </c>
      <c r="I13" s="50">
        <f>IF($A13=0,0,Inputs!$B$41*(1+Inputs!$B$51)^($B13-1))</f>
        <v>140000</v>
      </c>
      <c r="J13" s="50">
        <f>IF($A13=0,0,Inputs!$B$42*(1+Inputs!$B$51)^($B13-1))</f>
        <v>60000</v>
      </c>
      <c r="K13" s="50">
        <f>IF($A13=0,0,Inputs!$B$43*(1+Inputs!$B$51)^($B13-1))</f>
        <v>35000</v>
      </c>
      <c r="L13" s="50">
        <f>IF($A13=0,0,Inputs!$B$44*(1+Inputs!$B$51)^($B13-1))</f>
        <v>20000</v>
      </c>
      <c r="M13" s="50">
        <f>IF($A13=0,0,Inputs!$B$45*(1+Inputs!$B$51)^($B13-1))</f>
        <v>15000</v>
      </c>
      <c r="N13" s="50">
        <f>IF($A13=0,0,Inputs!$B$46*(1+Inputs!$B$51)^($B13-1))</f>
        <v>10000</v>
      </c>
      <c r="O13" s="50">
        <f>IF($A13=0,0,Inputs!$B$47*(1+Inputs!$B$51)^($B13-1))</f>
        <v>12000</v>
      </c>
      <c r="P13" s="50">
        <f>IF($A13=0,0,Inputs!$B$48*(1+Inputs!$B$51)^($B13-1))</f>
        <v>8000</v>
      </c>
      <c r="Q13" s="50">
        <f>IF($A13=0,0,Inputs!$B$50*(1+Inputs!$B$51)^($B13-1))</f>
        <v>1500</v>
      </c>
      <c r="R13" s="50">
        <f t="shared" si="2"/>
        <v>189000</v>
      </c>
      <c r="S13" s="50">
        <f t="shared" si="3"/>
        <v>1259000</v>
      </c>
      <c r="T13" s="51">
        <f t="shared" si="4"/>
        <v>253000</v>
      </c>
      <c r="U13" s="48">
        <f t="shared" si="5"/>
        <v>0.16732804232804233</v>
      </c>
      <c r="V13" s="50">
        <f>F13*MAX(0,1-(MIN(MAX(Inputs!$B$33,0),60)/30))+F12*MAX(0,1-ABS((MIN(MAX(Inputs!$B$33,0),60)/30)-1))+F11*MAX(0,(MIN(MAX(Inputs!$B$33,0),60)/30)-1)</f>
        <v>1446000</v>
      </c>
      <c r="W13" s="50">
        <f t="shared" si="6"/>
        <v>1259000</v>
      </c>
      <c r="X13" s="50">
        <f>IF($A13=0,Inputs!$B$56+Inputs!$B$19,0)</f>
        <v>0</v>
      </c>
      <c r="Y13" s="50">
        <f>IF($A13=0,Inputs!$B$58,0)</f>
        <v>0</v>
      </c>
      <c r="Z13" s="50">
        <f t="shared" si="7"/>
        <v>187000</v>
      </c>
      <c r="AA13" s="50">
        <f>F13*Inputs!$B$32</f>
        <v>3024000</v>
      </c>
      <c r="AB13" s="50">
        <f t="shared" si="14"/>
        <v>264000</v>
      </c>
      <c r="AC13" s="50">
        <f t="shared" si="8"/>
        <v>451000</v>
      </c>
      <c r="AD13" s="51">
        <f t="shared" si="15"/>
        <v>-23555500</v>
      </c>
      <c r="AE13" s="50">
        <f t="shared" si="16"/>
        <v>-20531500</v>
      </c>
      <c r="AF13" s="50">
        <f>AD13+SUM(Y$5:Y13)</f>
        <v>-19655500</v>
      </c>
      <c r="AG13" s="47">
        <f>IF(AND($A13&gt;=1,COUNTIF(T13:T$41,"&lt;0")=0),$A13,"")</f>
        <v>8</v>
      </c>
      <c r="AH13" s="47" t="str">
        <f t="shared" si="9"/>
        <v/>
      </c>
      <c r="AI13" s="47" t="str">
        <f t="shared" si="10"/>
        <v/>
      </c>
      <c r="AJ13" s="52">
        <f t="shared" si="11"/>
        <v>15.12</v>
      </c>
      <c r="AK13" s="52">
        <f t="shared" si="12"/>
        <v>12.59</v>
      </c>
      <c r="AL13" s="52">
        <f t="shared" si="13"/>
        <v>-235.55500000000001</v>
      </c>
    </row>
    <row r="14" spans="1:38" x14ac:dyDescent="0.2">
      <c r="A14" s="46">
        <v>9</v>
      </c>
      <c r="B14" s="47">
        <f t="shared" si="0"/>
        <v>1</v>
      </c>
      <c r="C14" s="48">
        <f>IF($A14=0,0,IF(OR(Inputs!$B$38&lt;=1,$A14&gt;=Inputs!$B$38),Inputs!$B$37,Inputs!$B$36+(Inputs!$B$37-Inputs!$B$36)*($A14-1)/(Inputs!$B$38-1)))</f>
        <v>0.68636363636363629</v>
      </c>
      <c r="D14" s="49">
        <f>ROUNDDOWN(INT(Inputs!$B$7)*C14+0.000000001,0)</f>
        <v>137</v>
      </c>
      <c r="E14" s="50">
        <f>IF($A14=0,0,Inputs!$B$28*(1+Inputs!$B$29)^($B14-1))</f>
        <v>12000</v>
      </c>
      <c r="F14" s="50">
        <f t="shared" si="1"/>
        <v>1644000</v>
      </c>
      <c r="G14" s="50">
        <f>IF($A14&lt;=MAX(Inputs!$B$12,0),0,Inputs!$B$6*Inputs!$B$10*(1+Inputs!$B$13)^($B14-1))</f>
        <v>650000</v>
      </c>
      <c r="H14" s="50">
        <f>IF($A14=0,0,Inputs!$B$6*Inputs!$B$11*(1+Inputs!$B$13)^($B14-1))</f>
        <v>120000</v>
      </c>
      <c r="I14" s="50">
        <f>IF($A14=0,0,Inputs!$B$41*(1+Inputs!$B$51)^($B14-1))</f>
        <v>140000</v>
      </c>
      <c r="J14" s="50">
        <f>IF($A14=0,0,Inputs!$B$42*(1+Inputs!$B$51)^($B14-1))</f>
        <v>60000</v>
      </c>
      <c r="K14" s="50">
        <f>IF($A14=0,0,Inputs!$B$43*(1+Inputs!$B$51)^($B14-1))</f>
        <v>35000</v>
      </c>
      <c r="L14" s="50">
        <f>IF($A14=0,0,Inputs!$B$44*(1+Inputs!$B$51)^($B14-1))</f>
        <v>20000</v>
      </c>
      <c r="M14" s="50">
        <f>IF($A14=0,0,Inputs!$B$45*(1+Inputs!$B$51)^($B14-1))</f>
        <v>15000</v>
      </c>
      <c r="N14" s="50">
        <f>IF($A14=0,0,Inputs!$B$46*(1+Inputs!$B$51)^($B14-1))</f>
        <v>10000</v>
      </c>
      <c r="O14" s="50">
        <f>IF($A14=0,0,Inputs!$B$47*(1+Inputs!$B$51)^($B14-1))</f>
        <v>12000</v>
      </c>
      <c r="P14" s="50">
        <f>IF($A14=0,0,Inputs!$B$48*(1+Inputs!$B$51)^($B14-1))</f>
        <v>8000</v>
      </c>
      <c r="Q14" s="50">
        <f>IF($A14=0,0,Inputs!$B$50*(1+Inputs!$B$51)^($B14-1))</f>
        <v>1500</v>
      </c>
      <c r="R14" s="50">
        <f t="shared" si="2"/>
        <v>205500</v>
      </c>
      <c r="S14" s="50">
        <f t="shared" si="3"/>
        <v>1275500</v>
      </c>
      <c r="T14" s="51">
        <f t="shared" si="4"/>
        <v>368500</v>
      </c>
      <c r="U14" s="48">
        <f t="shared" si="5"/>
        <v>0.22414841849148417</v>
      </c>
      <c r="V14" s="50">
        <f>F14*MAX(0,1-(MIN(MAX(Inputs!$B$33,0),60)/30))+F13*MAX(0,1-ABS((MIN(MAX(Inputs!$B$33,0),60)/30)-1))+F12*MAX(0,(MIN(MAX(Inputs!$B$33,0),60)/30)-1)</f>
        <v>1578000</v>
      </c>
      <c r="W14" s="50">
        <f t="shared" si="6"/>
        <v>1275500</v>
      </c>
      <c r="X14" s="50">
        <f>IF($A14=0,Inputs!$B$56+Inputs!$B$19,0)</f>
        <v>0</v>
      </c>
      <c r="Y14" s="50">
        <f>IF($A14=0,Inputs!$B$58,0)</f>
        <v>0</v>
      </c>
      <c r="Z14" s="50">
        <f t="shared" si="7"/>
        <v>302500</v>
      </c>
      <c r="AA14" s="50">
        <f>F14*Inputs!$B$32</f>
        <v>3288000</v>
      </c>
      <c r="AB14" s="50">
        <f t="shared" si="14"/>
        <v>264000</v>
      </c>
      <c r="AC14" s="50">
        <f t="shared" si="8"/>
        <v>566500</v>
      </c>
      <c r="AD14" s="51">
        <f t="shared" si="15"/>
        <v>-23253000</v>
      </c>
      <c r="AE14" s="50">
        <f t="shared" si="16"/>
        <v>-19965000</v>
      </c>
      <c r="AF14" s="50">
        <f>AD14+SUM(Y$5:Y14)</f>
        <v>-19353000</v>
      </c>
      <c r="AG14" s="47">
        <f>IF(AND($A14&gt;=1,COUNTIF(T14:T$41,"&lt;0")=0),$A14,"")</f>
        <v>9</v>
      </c>
      <c r="AH14" s="47" t="str">
        <f t="shared" si="9"/>
        <v/>
      </c>
      <c r="AI14" s="47" t="str">
        <f t="shared" si="10"/>
        <v/>
      </c>
      <c r="AJ14" s="52">
        <f t="shared" si="11"/>
        <v>16.440000000000001</v>
      </c>
      <c r="AK14" s="52">
        <f t="shared" si="12"/>
        <v>12.755000000000001</v>
      </c>
      <c r="AL14" s="52">
        <f t="shared" si="13"/>
        <v>-232.53</v>
      </c>
    </row>
    <row r="15" spans="1:38" x14ac:dyDescent="0.2">
      <c r="A15" s="46">
        <v>10</v>
      </c>
      <c r="B15" s="47">
        <f t="shared" si="0"/>
        <v>1</v>
      </c>
      <c r="C15" s="48">
        <f>IF($A15=0,0,IF(OR(Inputs!$B$38&lt;=1,$A15&gt;=Inputs!$B$38),Inputs!$B$37,Inputs!$B$36+(Inputs!$B$37-Inputs!$B$36)*($A15-1)/(Inputs!$B$38-1)))</f>
        <v>0.74090909090909085</v>
      </c>
      <c r="D15" s="49">
        <f>ROUNDDOWN(INT(Inputs!$B$7)*C15+0.000000001,0)</f>
        <v>148</v>
      </c>
      <c r="E15" s="50">
        <f>IF($A15=0,0,Inputs!$B$28*(1+Inputs!$B$29)^($B15-1))</f>
        <v>12000</v>
      </c>
      <c r="F15" s="50">
        <f t="shared" si="1"/>
        <v>1776000</v>
      </c>
      <c r="G15" s="50">
        <f>IF($A15&lt;=MAX(Inputs!$B$12,0),0,Inputs!$B$6*Inputs!$B$10*(1+Inputs!$B$13)^($B15-1))</f>
        <v>650000</v>
      </c>
      <c r="H15" s="50">
        <f>IF($A15=0,0,Inputs!$B$6*Inputs!$B$11*(1+Inputs!$B$13)^($B15-1))</f>
        <v>120000</v>
      </c>
      <c r="I15" s="50">
        <f>IF($A15=0,0,Inputs!$B$41*(1+Inputs!$B$51)^($B15-1))</f>
        <v>140000</v>
      </c>
      <c r="J15" s="50">
        <f>IF($A15=0,0,Inputs!$B$42*(1+Inputs!$B$51)^($B15-1))</f>
        <v>60000</v>
      </c>
      <c r="K15" s="50">
        <f>IF($A15=0,0,Inputs!$B$43*(1+Inputs!$B$51)^($B15-1))</f>
        <v>35000</v>
      </c>
      <c r="L15" s="50">
        <f>IF($A15=0,0,Inputs!$B$44*(1+Inputs!$B$51)^($B15-1))</f>
        <v>20000</v>
      </c>
      <c r="M15" s="50">
        <f>IF($A15=0,0,Inputs!$B$45*(1+Inputs!$B$51)^($B15-1))</f>
        <v>15000</v>
      </c>
      <c r="N15" s="50">
        <f>IF($A15=0,0,Inputs!$B$46*(1+Inputs!$B$51)^($B15-1))</f>
        <v>10000</v>
      </c>
      <c r="O15" s="50">
        <f>IF($A15=0,0,Inputs!$B$47*(1+Inputs!$B$51)^($B15-1))</f>
        <v>12000</v>
      </c>
      <c r="P15" s="50">
        <f>IF($A15=0,0,Inputs!$B$48*(1+Inputs!$B$51)^($B15-1))</f>
        <v>8000</v>
      </c>
      <c r="Q15" s="50">
        <f>IF($A15=0,0,Inputs!$B$50*(1+Inputs!$B$51)^($B15-1))</f>
        <v>1500</v>
      </c>
      <c r="R15" s="50">
        <f t="shared" si="2"/>
        <v>222000</v>
      </c>
      <c r="S15" s="50">
        <f t="shared" si="3"/>
        <v>1292000</v>
      </c>
      <c r="T15" s="51">
        <f t="shared" si="4"/>
        <v>484000</v>
      </c>
      <c r="U15" s="48">
        <f t="shared" si="5"/>
        <v>0.27252252252252251</v>
      </c>
      <c r="V15" s="50">
        <f>F15*MAX(0,1-(MIN(MAX(Inputs!$B$33,0),60)/30))+F14*MAX(0,1-ABS((MIN(MAX(Inputs!$B$33,0),60)/30)-1))+F13*MAX(0,(MIN(MAX(Inputs!$B$33,0),60)/30)-1)</f>
        <v>1710000</v>
      </c>
      <c r="W15" s="50">
        <f t="shared" si="6"/>
        <v>1292000</v>
      </c>
      <c r="X15" s="50">
        <f>IF($A15=0,Inputs!$B$56+Inputs!$B$19,0)</f>
        <v>0</v>
      </c>
      <c r="Y15" s="50">
        <f>IF($A15=0,Inputs!$B$58,0)</f>
        <v>0</v>
      </c>
      <c r="Z15" s="50">
        <f t="shared" si="7"/>
        <v>418000</v>
      </c>
      <c r="AA15" s="50">
        <f>F15*Inputs!$B$32</f>
        <v>3552000</v>
      </c>
      <c r="AB15" s="50">
        <f t="shared" si="14"/>
        <v>264000</v>
      </c>
      <c r="AC15" s="50">
        <f t="shared" si="8"/>
        <v>682000</v>
      </c>
      <c r="AD15" s="51">
        <f t="shared" si="15"/>
        <v>-22835000</v>
      </c>
      <c r="AE15" s="50">
        <f t="shared" si="16"/>
        <v>-19283000</v>
      </c>
      <c r="AF15" s="50">
        <f>AD15+SUM(Y$5:Y15)</f>
        <v>-18935000</v>
      </c>
      <c r="AG15" s="47">
        <f>IF(AND($A15&gt;=1,COUNTIF(T15:T$41,"&lt;0")=0),$A15,"")</f>
        <v>10</v>
      </c>
      <c r="AH15" s="47" t="str">
        <f t="shared" si="9"/>
        <v/>
      </c>
      <c r="AI15" s="47" t="str">
        <f t="shared" si="10"/>
        <v/>
      </c>
      <c r="AJ15" s="52">
        <f t="shared" si="11"/>
        <v>17.760000000000002</v>
      </c>
      <c r="AK15" s="52">
        <f t="shared" si="12"/>
        <v>12.92</v>
      </c>
      <c r="AL15" s="52">
        <f t="shared" si="13"/>
        <v>-228.35</v>
      </c>
    </row>
    <row r="16" spans="1:38" x14ac:dyDescent="0.2">
      <c r="A16" s="46">
        <v>11</v>
      </c>
      <c r="B16" s="47">
        <f t="shared" si="0"/>
        <v>1</v>
      </c>
      <c r="C16" s="48">
        <f>IF($A16=0,0,IF(OR(Inputs!$B$38&lt;=1,$A16&gt;=Inputs!$B$38),Inputs!$B$37,Inputs!$B$36+(Inputs!$B$37-Inputs!$B$36)*($A16-1)/(Inputs!$B$38-1)))</f>
        <v>0.79545454545454541</v>
      </c>
      <c r="D16" s="49">
        <f>ROUNDDOWN(INT(Inputs!$B$7)*C16+0.000000001,0)</f>
        <v>159</v>
      </c>
      <c r="E16" s="50">
        <f>IF($A16=0,0,Inputs!$B$28*(1+Inputs!$B$29)^($B16-1))</f>
        <v>12000</v>
      </c>
      <c r="F16" s="50">
        <f t="shared" si="1"/>
        <v>1908000</v>
      </c>
      <c r="G16" s="50">
        <f>IF($A16&lt;=MAX(Inputs!$B$12,0),0,Inputs!$B$6*Inputs!$B$10*(1+Inputs!$B$13)^($B16-1))</f>
        <v>650000</v>
      </c>
      <c r="H16" s="50">
        <f>IF($A16=0,0,Inputs!$B$6*Inputs!$B$11*(1+Inputs!$B$13)^($B16-1))</f>
        <v>120000</v>
      </c>
      <c r="I16" s="50">
        <f>IF($A16=0,0,Inputs!$B$41*(1+Inputs!$B$51)^($B16-1))</f>
        <v>140000</v>
      </c>
      <c r="J16" s="50">
        <f>IF($A16=0,0,Inputs!$B$42*(1+Inputs!$B$51)^($B16-1))</f>
        <v>60000</v>
      </c>
      <c r="K16" s="50">
        <f>IF($A16=0,0,Inputs!$B$43*(1+Inputs!$B$51)^($B16-1))</f>
        <v>35000</v>
      </c>
      <c r="L16" s="50">
        <f>IF($A16=0,0,Inputs!$B$44*(1+Inputs!$B$51)^($B16-1))</f>
        <v>20000</v>
      </c>
      <c r="M16" s="50">
        <f>IF($A16=0,0,Inputs!$B$45*(1+Inputs!$B$51)^($B16-1))</f>
        <v>15000</v>
      </c>
      <c r="N16" s="50">
        <f>IF($A16=0,0,Inputs!$B$46*(1+Inputs!$B$51)^($B16-1))</f>
        <v>10000</v>
      </c>
      <c r="O16" s="50">
        <f>IF($A16=0,0,Inputs!$B$47*(1+Inputs!$B$51)^($B16-1))</f>
        <v>12000</v>
      </c>
      <c r="P16" s="50">
        <f>IF($A16=0,0,Inputs!$B$48*(1+Inputs!$B$51)^($B16-1))</f>
        <v>8000</v>
      </c>
      <c r="Q16" s="50">
        <f>IF($A16=0,0,Inputs!$B$50*(1+Inputs!$B$51)^($B16-1))</f>
        <v>1500</v>
      </c>
      <c r="R16" s="50">
        <f t="shared" si="2"/>
        <v>238500</v>
      </c>
      <c r="S16" s="50">
        <f t="shared" si="3"/>
        <v>1308500</v>
      </c>
      <c r="T16" s="51">
        <f t="shared" si="4"/>
        <v>599500</v>
      </c>
      <c r="U16" s="48">
        <f t="shared" si="5"/>
        <v>0.31420335429769392</v>
      </c>
      <c r="V16" s="50">
        <f>F16*MAX(0,1-(MIN(MAX(Inputs!$B$33,0),60)/30))+F15*MAX(0,1-ABS((MIN(MAX(Inputs!$B$33,0),60)/30)-1))+F14*MAX(0,(MIN(MAX(Inputs!$B$33,0),60)/30)-1)</f>
        <v>1842000</v>
      </c>
      <c r="W16" s="50">
        <f t="shared" si="6"/>
        <v>1308500</v>
      </c>
      <c r="X16" s="50">
        <f>IF($A16=0,Inputs!$B$56+Inputs!$B$19,0)</f>
        <v>0</v>
      </c>
      <c r="Y16" s="50">
        <f>IF($A16=0,Inputs!$B$58,0)</f>
        <v>0</v>
      </c>
      <c r="Z16" s="50">
        <f t="shared" si="7"/>
        <v>533500</v>
      </c>
      <c r="AA16" s="50">
        <f>F16*Inputs!$B$32</f>
        <v>3816000</v>
      </c>
      <c r="AB16" s="50">
        <f t="shared" si="14"/>
        <v>264000</v>
      </c>
      <c r="AC16" s="50">
        <f t="shared" si="8"/>
        <v>797500</v>
      </c>
      <c r="AD16" s="51">
        <f t="shared" si="15"/>
        <v>-22301500</v>
      </c>
      <c r="AE16" s="50">
        <f t="shared" si="16"/>
        <v>-18485500</v>
      </c>
      <c r="AF16" s="50">
        <f>AD16+SUM(Y$5:Y16)</f>
        <v>-18401500</v>
      </c>
      <c r="AG16" s="47">
        <f>IF(AND($A16&gt;=1,COUNTIF(T16:T$41,"&lt;0")=0),$A16,"")</f>
        <v>11</v>
      </c>
      <c r="AH16" s="47" t="str">
        <f t="shared" si="9"/>
        <v/>
      </c>
      <c r="AI16" s="47" t="str">
        <f t="shared" si="10"/>
        <v/>
      </c>
      <c r="AJ16" s="52">
        <f t="shared" si="11"/>
        <v>19.079999999999998</v>
      </c>
      <c r="AK16" s="52">
        <f t="shared" si="12"/>
        <v>13.085000000000001</v>
      </c>
      <c r="AL16" s="52">
        <f t="shared" si="13"/>
        <v>-223.01499999999999</v>
      </c>
    </row>
    <row r="17" spans="1:38" x14ac:dyDescent="0.2">
      <c r="A17" s="46">
        <v>12</v>
      </c>
      <c r="B17" s="47">
        <f t="shared" si="0"/>
        <v>1</v>
      </c>
      <c r="C17" s="48">
        <f>IF($A17=0,0,IF(OR(Inputs!$B$38&lt;=1,$A17&gt;=Inputs!$B$38),Inputs!$B$37,Inputs!$B$36+(Inputs!$B$37-Inputs!$B$36)*($A17-1)/(Inputs!$B$38-1)))</f>
        <v>0.85</v>
      </c>
      <c r="D17" s="49">
        <f>ROUNDDOWN(INT(Inputs!$B$7)*C17+0.000000001,0)</f>
        <v>170</v>
      </c>
      <c r="E17" s="50">
        <f>IF($A17=0,0,Inputs!$B$28*(1+Inputs!$B$29)^($B17-1))</f>
        <v>12000</v>
      </c>
      <c r="F17" s="50">
        <f t="shared" si="1"/>
        <v>2040000</v>
      </c>
      <c r="G17" s="50">
        <f>IF($A17&lt;=MAX(Inputs!$B$12,0),0,Inputs!$B$6*Inputs!$B$10*(1+Inputs!$B$13)^($B17-1))</f>
        <v>650000</v>
      </c>
      <c r="H17" s="50">
        <f>IF($A17=0,0,Inputs!$B$6*Inputs!$B$11*(1+Inputs!$B$13)^($B17-1))</f>
        <v>120000</v>
      </c>
      <c r="I17" s="50">
        <f>IF($A17=0,0,Inputs!$B$41*(1+Inputs!$B$51)^($B17-1))</f>
        <v>140000</v>
      </c>
      <c r="J17" s="50">
        <f>IF($A17=0,0,Inputs!$B$42*(1+Inputs!$B$51)^($B17-1))</f>
        <v>60000</v>
      </c>
      <c r="K17" s="50">
        <f>IF($A17=0,0,Inputs!$B$43*(1+Inputs!$B$51)^($B17-1))</f>
        <v>35000</v>
      </c>
      <c r="L17" s="50">
        <f>IF($A17=0,0,Inputs!$B$44*(1+Inputs!$B$51)^($B17-1))</f>
        <v>20000</v>
      </c>
      <c r="M17" s="50">
        <f>IF($A17=0,0,Inputs!$B$45*(1+Inputs!$B$51)^($B17-1))</f>
        <v>15000</v>
      </c>
      <c r="N17" s="50">
        <f>IF($A17=0,0,Inputs!$B$46*(1+Inputs!$B$51)^($B17-1))</f>
        <v>10000</v>
      </c>
      <c r="O17" s="50">
        <f>IF($A17=0,0,Inputs!$B$47*(1+Inputs!$B$51)^($B17-1))</f>
        <v>12000</v>
      </c>
      <c r="P17" s="50">
        <f>IF($A17=0,0,Inputs!$B$48*(1+Inputs!$B$51)^($B17-1))</f>
        <v>8000</v>
      </c>
      <c r="Q17" s="50">
        <f>IF($A17=0,0,Inputs!$B$50*(1+Inputs!$B$51)^($B17-1))</f>
        <v>1500</v>
      </c>
      <c r="R17" s="50">
        <f t="shared" si="2"/>
        <v>255000</v>
      </c>
      <c r="S17" s="50">
        <f t="shared" si="3"/>
        <v>1325000</v>
      </c>
      <c r="T17" s="51">
        <f t="shared" si="4"/>
        <v>715000</v>
      </c>
      <c r="U17" s="48">
        <f t="shared" si="5"/>
        <v>0.35049019607843135</v>
      </c>
      <c r="V17" s="50">
        <f>F17*MAX(0,1-(MIN(MAX(Inputs!$B$33,0),60)/30))+F16*MAX(0,1-ABS((MIN(MAX(Inputs!$B$33,0),60)/30)-1))+F15*MAX(0,(MIN(MAX(Inputs!$B$33,0),60)/30)-1)</f>
        <v>1974000</v>
      </c>
      <c r="W17" s="50">
        <f t="shared" si="6"/>
        <v>1325000</v>
      </c>
      <c r="X17" s="50">
        <f>IF($A17=0,Inputs!$B$56+Inputs!$B$19,0)</f>
        <v>0</v>
      </c>
      <c r="Y17" s="50">
        <f>IF($A17=0,Inputs!$B$58,0)</f>
        <v>0</v>
      </c>
      <c r="Z17" s="50">
        <f t="shared" si="7"/>
        <v>649000</v>
      </c>
      <c r="AA17" s="50">
        <f>F17*Inputs!$B$32</f>
        <v>4080000</v>
      </c>
      <c r="AB17" s="50">
        <f t="shared" si="14"/>
        <v>264000</v>
      </c>
      <c r="AC17" s="50">
        <f t="shared" si="8"/>
        <v>913000</v>
      </c>
      <c r="AD17" s="51">
        <f t="shared" si="15"/>
        <v>-21652500</v>
      </c>
      <c r="AE17" s="50">
        <f t="shared" si="16"/>
        <v>-17572500</v>
      </c>
      <c r="AF17" s="50">
        <f>AD17+SUM(Y$5:Y17)</f>
        <v>-17752500</v>
      </c>
      <c r="AG17" s="47">
        <f>IF(AND($A17&gt;=1,COUNTIF(T17:T$41,"&lt;0")=0),$A17,"")</f>
        <v>12</v>
      </c>
      <c r="AH17" s="47" t="str">
        <f t="shared" si="9"/>
        <v/>
      </c>
      <c r="AI17" s="47" t="str">
        <f t="shared" si="10"/>
        <v/>
      </c>
      <c r="AJ17" s="52">
        <f t="shared" si="11"/>
        <v>20.399999999999999</v>
      </c>
      <c r="AK17" s="52">
        <f t="shared" si="12"/>
        <v>13.25</v>
      </c>
      <c r="AL17" s="52">
        <f t="shared" si="13"/>
        <v>-216.52500000000001</v>
      </c>
    </row>
    <row r="18" spans="1:38" x14ac:dyDescent="0.2">
      <c r="A18" s="46">
        <v>13</v>
      </c>
      <c r="B18" s="47">
        <f t="shared" si="0"/>
        <v>2</v>
      </c>
      <c r="C18" s="48">
        <f>IF($A18=0,0,IF(OR(Inputs!$B$38&lt;=1,$A18&gt;=Inputs!$B$38),Inputs!$B$37,Inputs!$B$36+(Inputs!$B$37-Inputs!$B$36)*($A18-1)/(Inputs!$B$38-1)))</f>
        <v>0.85</v>
      </c>
      <c r="D18" s="49">
        <f>ROUNDDOWN(INT(Inputs!$B$7)*C18+0.000000001,0)</f>
        <v>170</v>
      </c>
      <c r="E18" s="50">
        <f>IF($A18=0,0,Inputs!$B$28*(1+Inputs!$B$29)^($B18-1))</f>
        <v>12600</v>
      </c>
      <c r="F18" s="50">
        <f t="shared" si="1"/>
        <v>2142000</v>
      </c>
      <c r="G18" s="50">
        <f>IF($A18&lt;=MAX(Inputs!$B$12,0),0,Inputs!$B$6*Inputs!$B$10*(1+Inputs!$B$13)^($B18-1))</f>
        <v>682500</v>
      </c>
      <c r="H18" s="50">
        <f>IF($A18=0,0,Inputs!$B$6*Inputs!$B$11*(1+Inputs!$B$13)^($B18-1))</f>
        <v>126000</v>
      </c>
      <c r="I18" s="50">
        <f>IF($A18=0,0,Inputs!$B$41*(1+Inputs!$B$51)^($B18-1))</f>
        <v>147000</v>
      </c>
      <c r="J18" s="50">
        <f>IF($A18=0,0,Inputs!$B$42*(1+Inputs!$B$51)^($B18-1))</f>
        <v>63000</v>
      </c>
      <c r="K18" s="50">
        <f>IF($A18=0,0,Inputs!$B$43*(1+Inputs!$B$51)^($B18-1))</f>
        <v>36750</v>
      </c>
      <c r="L18" s="50">
        <f>IF($A18=0,0,Inputs!$B$44*(1+Inputs!$B$51)^($B18-1))</f>
        <v>21000</v>
      </c>
      <c r="M18" s="50">
        <f>IF($A18=0,0,Inputs!$B$45*(1+Inputs!$B$51)^($B18-1))</f>
        <v>15750</v>
      </c>
      <c r="N18" s="50">
        <f>IF($A18=0,0,Inputs!$B$46*(1+Inputs!$B$51)^($B18-1))</f>
        <v>10500</v>
      </c>
      <c r="O18" s="50">
        <f>IF($A18=0,0,Inputs!$B$47*(1+Inputs!$B$51)^($B18-1))</f>
        <v>12600</v>
      </c>
      <c r="P18" s="50">
        <f>IF($A18=0,0,Inputs!$B$48*(1+Inputs!$B$51)^($B18-1))</f>
        <v>8400</v>
      </c>
      <c r="Q18" s="50">
        <f>IF($A18=0,0,Inputs!$B$50*(1+Inputs!$B$51)^($B18-1))</f>
        <v>1575</v>
      </c>
      <c r="R18" s="50">
        <f t="shared" si="2"/>
        <v>267750</v>
      </c>
      <c r="S18" s="50">
        <f t="shared" si="3"/>
        <v>1391250</v>
      </c>
      <c r="T18" s="51">
        <f t="shared" si="4"/>
        <v>750750</v>
      </c>
      <c r="U18" s="48">
        <f t="shared" si="5"/>
        <v>0.35049019607843135</v>
      </c>
      <c r="V18" s="50">
        <f>F18*MAX(0,1-(MIN(MAX(Inputs!$B$33,0),60)/30))+F17*MAX(0,1-ABS((MIN(MAX(Inputs!$B$33,0),60)/30)-1))+F16*MAX(0,(MIN(MAX(Inputs!$B$33,0),60)/30)-1)</f>
        <v>2091000</v>
      </c>
      <c r="W18" s="50">
        <f t="shared" si="6"/>
        <v>1391250</v>
      </c>
      <c r="X18" s="50">
        <f>IF($A18=0,Inputs!$B$56+Inputs!$B$19,0)</f>
        <v>0</v>
      </c>
      <c r="Y18" s="50">
        <f>IF($A18=0,Inputs!$B$58,0)</f>
        <v>0</v>
      </c>
      <c r="Z18" s="50">
        <f t="shared" si="7"/>
        <v>699750</v>
      </c>
      <c r="AA18" s="50">
        <f>F18*Inputs!$B$32</f>
        <v>4284000</v>
      </c>
      <c r="AB18" s="50">
        <f t="shared" si="14"/>
        <v>204000</v>
      </c>
      <c r="AC18" s="50">
        <f t="shared" si="8"/>
        <v>903750</v>
      </c>
      <c r="AD18" s="51">
        <f t="shared" si="15"/>
        <v>-20952750</v>
      </c>
      <c r="AE18" s="50">
        <f t="shared" si="16"/>
        <v>-16668750</v>
      </c>
      <c r="AF18" s="50">
        <f>AD18+SUM(Y$5:Y18)</f>
        <v>-17052750</v>
      </c>
      <c r="AG18" s="47">
        <f>IF(AND($A18&gt;=1,COUNTIF(T18:T$41,"&lt;0")=0),$A18,"")</f>
        <v>13</v>
      </c>
      <c r="AH18" s="47" t="str">
        <f t="shared" si="9"/>
        <v/>
      </c>
      <c r="AI18" s="47" t="str">
        <f t="shared" si="10"/>
        <v/>
      </c>
      <c r="AJ18" s="52">
        <f t="shared" si="11"/>
        <v>21.42</v>
      </c>
      <c r="AK18" s="52">
        <f t="shared" si="12"/>
        <v>13.9125</v>
      </c>
      <c r="AL18" s="52">
        <f t="shared" si="13"/>
        <v>-209.5275</v>
      </c>
    </row>
    <row r="19" spans="1:38" x14ac:dyDescent="0.2">
      <c r="A19" s="46">
        <v>14</v>
      </c>
      <c r="B19" s="47">
        <f t="shared" si="0"/>
        <v>2</v>
      </c>
      <c r="C19" s="48">
        <f>IF($A19=0,0,IF(OR(Inputs!$B$38&lt;=1,$A19&gt;=Inputs!$B$38),Inputs!$B$37,Inputs!$B$36+(Inputs!$B$37-Inputs!$B$36)*($A19-1)/(Inputs!$B$38-1)))</f>
        <v>0.85</v>
      </c>
      <c r="D19" s="49">
        <f>ROUNDDOWN(INT(Inputs!$B$7)*C19+0.000000001,0)</f>
        <v>170</v>
      </c>
      <c r="E19" s="50">
        <f>IF($A19=0,0,Inputs!$B$28*(1+Inputs!$B$29)^($B19-1))</f>
        <v>12600</v>
      </c>
      <c r="F19" s="50">
        <f t="shared" si="1"/>
        <v>2142000</v>
      </c>
      <c r="G19" s="50">
        <f>IF($A19&lt;=MAX(Inputs!$B$12,0),0,Inputs!$B$6*Inputs!$B$10*(1+Inputs!$B$13)^($B19-1))</f>
        <v>682500</v>
      </c>
      <c r="H19" s="50">
        <f>IF($A19=0,0,Inputs!$B$6*Inputs!$B$11*(1+Inputs!$B$13)^($B19-1))</f>
        <v>126000</v>
      </c>
      <c r="I19" s="50">
        <f>IF($A19=0,0,Inputs!$B$41*(1+Inputs!$B$51)^($B19-1))</f>
        <v>147000</v>
      </c>
      <c r="J19" s="50">
        <f>IF($A19=0,0,Inputs!$B$42*(1+Inputs!$B$51)^($B19-1))</f>
        <v>63000</v>
      </c>
      <c r="K19" s="50">
        <f>IF($A19=0,0,Inputs!$B$43*(1+Inputs!$B$51)^($B19-1))</f>
        <v>36750</v>
      </c>
      <c r="L19" s="50">
        <f>IF($A19=0,0,Inputs!$B$44*(1+Inputs!$B$51)^($B19-1))</f>
        <v>21000</v>
      </c>
      <c r="M19" s="50">
        <f>IF($A19=0,0,Inputs!$B$45*(1+Inputs!$B$51)^($B19-1))</f>
        <v>15750</v>
      </c>
      <c r="N19" s="50">
        <f>IF($A19=0,0,Inputs!$B$46*(1+Inputs!$B$51)^($B19-1))</f>
        <v>10500</v>
      </c>
      <c r="O19" s="50">
        <f>IF($A19=0,0,Inputs!$B$47*(1+Inputs!$B$51)^($B19-1))</f>
        <v>12600</v>
      </c>
      <c r="P19" s="50">
        <f>IF($A19=0,0,Inputs!$B$48*(1+Inputs!$B$51)^($B19-1))</f>
        <v>8400</v>
      </c>
      <c r="Q19" s="50">
        <f>IF($A19=0,0,Inputs!$B$50*(1+Inputs!$B$51)^($B19-1))</f>
        <v>1575</v>
      </c>
      <c r="R19" s="50">
        <f t="shared" si="2"/>
        <v>267750</v>
      </c>
      <c r="S19" s="50">
        <f t="shared" si="3"/>
        <v>1391250</v>
      </c>
      <c r="T19" s="51">
        <f t="shared" si="4"/>
        <v>750750</v>
      </c>
      <c r="U19" s="48">
        <f t="shared" si="5"/>
        <v>0.35049019607843135</v>
      </c>
      <c r="V19" s="50">
        <f>F19*MAX(0,1-(MIN(MAX(Inputs!$B$33,0),60)/30))+F18*MAX(0,1-ABS((MIN(MAX(Inputs!$B$33,0),60)/30)-1))+F17*MAX(0,(MIN(MAX(Inputs!$B$33,0),60)/30)-1)</f>
        <v>2142000</v>
      </c>
      <c r="W19" s="50">
        <f t="shared" si="6"/>
        <v>1391250</v>
      </c>
      <c r="X19" s="50">
        <f>IF($A19=0,Inputs!$B$56+Inputs!$B$19,0)</f>
        <v>0</v>
      </c>
      <c r="Y19" s="50">
        <f>IF($A19=0,Inputs!$B$58,0)</f>
        <v>0</v>
      </c>
      <c r="Z19" s="50">
        <f t="shared" si="7"/>
        <v>750750</v>
      </c>
      <c r="AA19" s="50">
        <f>F19*Inputs!$B$32</f>
        <v>4284000</v>
      </c>
      <c r="AB19" s="50">
        <f t="shared" si="14"/>
        <v>0</v>
      </c>
      <c r="AC19" s="50">
        <f t="shared" si="8"/>
        <v>750750</v>
      </c>
      <c r="AD19" s="51">
        <f t="shared" si="15"/>
        <v>-20202000</v>
      </c>
      <c r="AE19" s="50">
        <f t="shared" si="16"/>
        <v>-15918000</v>
      </c>
      <c r="AF19" s="50">
        <f>AD19+SUM(Y$5:Y19)</f>
        <v>-16302000</v>
      </c>
      <c r="AG19" s="47">
        <f>IF(AND($A19&gt;=1,COUNTIF(T19:T$41,"&lt;0")=0),$A19,"")</f>
        <v>14</v>
      </c>
      <c r="AH19" s="47" t="str">
        <f t="shared" si="9"/>
        <v/>
      </c>
      <c r="AI19" s="47" t="str">
        <f t="shared" si="10"/>
        <v/>
      </c>
      <c r="AJ19" s="52">
        <f t="shared" si="11"/>
        <v>21.42</v>
      </c>
      <c r="AK19" s="52">
        <f t="shared" si="12"/>
        <v>13.9125</v>
      </c>
      <c r="AL19" s="52">
        <f t="shared" si="13"/>
        <v>-202.02</v>
      </c>
    </row>
    <row r="20" spans="1:38" x14ac:dyDescent="0.2">
      <c r="A20" s="46">
        <v>15</v>
      </c>
      <c r="B20" s="47">
        <f t="shared" si="0"/>
        <v>2</v>
      </c>
      <c r="C20" s="48">
        <f>IF($A20=0,0,IF(OR(Inputs!$B$38&lt;=1,$A20&gt;=Inputs!$B$38),Inputs!$B$37,Inputs!$B$36+(Inputs!$B$37-Inputs!$B$36)*($A20-1)/(Inputs!$B$38-1)))</f>
        <v>0.85</v>
      </c>
      <c r="D20" s="49">
        <f>ROUNDDOWN(INT(Inputs!$B$7)*C20+0.000000001,0)</f>
        <v>170</v>
      </c>
      <c r="E20" s="50">
        <f>IF($A20=0,0,Inputs!$B$28*(1+Inputs!$B$29)^($B20-1))</f>
        <v>12600</v>
      </c>
      <c r="F20" s="50">
        <f t="shared" si="1"/>
        <v>2142000</v>
      </c>
      <c r="G20" s="50">
        <f>IF($A20&lt;=MAX(Inputs!$B$12,0),0,Inputs!$B$6*Inputs!$B$10*(1+Inputs!$B$13)^($B20-1))</f>
        <v>682500</v>
      </c>
      <c r="H20" s="50">
        <f>IF($A20=0,0,Inputs!$B$6*Inputs!$B$11*(1+Inputs!$B$13)^($B20-1))</f>
        <v>126000</v>
      </c>
      <c r="I20" s="50">
        <f>IF($A20=0,0,Inputs!$B$41*(1+Inputs!$B$51)^($B20-1))</f>
        <v>147000</v>
      </c>
      <c r="J20" s="50">
        <f>IF($A20=0,0,Inputs!$B$42*(1+Inputs!$B$51)^($B20-1))</f>
        <v>63000</v>
      </c>
      <c r="K20" s="50">
        <f>IF($A20=0,0,Inputs!$B$43*(1+Inputs!$B$51)^($B20-1))</f>
        <v>36750</v>
      </c>
      <c r="L20" s="50">
        <f>IF($A20=0,0,Inputs!$B$44*(1+Inputs!$B$51)^($B20-1))</f>
        <v>21000</v>
      </c>
      <c r="M20" s="50">
        <f>IF($A20=0,0,Inputs!$B$45*(1+Inputs!$B$51)^($B20-1))</f>
        <v>15750</v>
      </c>
      <c r="N20" s="50">
        <f>IF($A20=0,0,Inputs!$B$46*(1+Inputs!$B$51)^($B20-1))</f>
        <v>10500</v>
      </c>
      <c r="O20" s="50">
        <f>IF($A20=0,0,Inputs!$B$47*(1+Inputs!$B$51)^($B20-1))</f>
        <v>12600</v>
      </c>
      <c r="P20" s="50">
        <f>IF($A20=0,0,Inputs!$B$48*(1+Inputs!$B$51)^($B20-1))</f>
        <v>8400</v>
      </c>
      <c r="Q20" s="50">
        <f>IF($A20=0,0,Inputs!$B$50*(1+Inputs!$B$51)^($B20-1))</f>
        <v>1575</v>
      </c>
      <c r="R20" s="50">
        <f t="shared" si="2"/>
        <v>267750</v>
      </c>
      <c r="S20" s="50">
        <f t="shared" si="3"/>
        <v>1391250</v>
      </c>
      <c r="T20" s="51">
        <f t="shared" si="4"/>
        <v>750750</v>
      </c>
      <c r="U20" s="48">
        <f t="shared" si="5"/>
        <v>0.35049019607843135</v>
      </c>
      <c r="V20" s="50">
        <f>F20*MAX(0,1-(MIN(MAX(Inputs!$B$33,0),60)/30))+F19*MAX(0,1-ABS((MIN(MAX(Inputs!$B$33,0),60)/30)-1))+F18*MAX(0,(MIN(MAX(Inputs!$B$33,0),60)/30)-1)</f>
        <v>2142000</v>
      </c>
      <c r="W20" s="50">
        <f t="shared" si="6"/>
        <v>1391250</v>
      </c>
      <c r="X20" s="50">
        <f>IF($A20=0,Inputs!$B$56+Inputs!$B$19,0)</f>
        <v>0</v>
      </c>
      <c r="Y20" s="50">
        <f>IF($A20=0,Inputs!$B$58,0)</f>
        <v>0</v>
      </c>
      <c r="Z20" s="50">
        <f t="shared" si="7"/>
        <v>750750</v>
      </c>
      <c r="AA20" s="50">
        <f>F20*Inputs!$B$32</f>
        <v>4284000</v>
      </c>
      <c r="AB20" s="50">
        <f t="shared" si="14"/>
        <v>0</v>
      </c>
      <c r="AC20" s="50">
        <f t="shared" si="8"/>
        <v>750750</v>
      </c>
      <c r="AD20" s="51">
        <f t="shared" si="15"/>
        <v>-19451250</v>
      </c>
      <c r="AE20" s="50">
        <f t="shared" si="16"/>
        <v>-15167250</v>
      </c>
      <c r="AF20" s="50">
        <f>AD20+SUM(Y$5:Y20)</f>
        <v>-15551250</v>
      </c>
      <c r="AG20" s="47">
        <f>IF(AND($A20&gt;=1,COUNTIF(T20:T$41,"&lt;0")=0),$A20,"")</f>
        <v>15</v>
      </c>
      <c r="AH20" s="47" t="str">
        <f t="shared" si="9"/>
        <v/>
      </c>
      <c r="AI20" s="47" t="str">
        <f t="shared" si="10"/>
        <v/>
      </c>
      <c r="AJ20" s="52">
        <f t="shared" si="11"/>
        <v>21.42</v>
      </c>
      <c r="AK20" s="52">
        <f t="shared" si="12"/>
        <v>13.9125</v>
      </c>
      <c r="AL20" s="52">
        <f t="shared" si="13"/>
        <v>-194.51249999999999</v>
      </c>
    </row>
    <row r="21" spans="1:38" x14ac:dyDescent="0.2">
      <c r="A21" s="46">
        <v>16</v>
      </c>
      <c r="B21" s="47">
        <f t="shared" si="0"/>
        <v>2</v>
      </c>
      <c r="C21" s="48">
        <f>IF($A21=0,0,IF(OR(Inputs!$B$38&lt;=1,$A21&gt;=Inputs!$B$38),Inputs!$B$37,Inputs!$B$36+(Inputs!$B$37-Inputs!$B$36)*($A21-1)/(Inputs!$B$38-1)))</f>
        <v>0.85</v>
      </c>
      <c r="D21" s="49">
        <f>ROUNDDOWN(INT(Inputs!$B$7)*C21+0.000000001,0)</f>
        <v>170</v>
      </c>
      <c r="E21" s="50">
        <f>IF($A21=0,0,Inputs!$B$28*(1+Inputs!$B$29)^($B21-1))</f>
        <v>12600</v>
      </c>
      <c r="F21" s="50">
        <f t="shared" si="1"/>
        <v>2142000</v>
      </c>
      <c r="G21" s="50">
        <f>IF($A21&lt;=MAX(Inputs!$B$12,0),0,Inputs!$B$6*Inputs!$B$10*(1+Inputs!$B$13)^($B21-1))</f>
        <v>682500</v>
      </c>
      <c r="H21" s="50">
        <f>IF($A21=0,0,Inputs!$B$6*Inputs!$B$11*(1+Inputs!$B$13)^($B21-1))</f>
        <v>126000</v>
      </c>
      <c r="I21" s="50">
        <f>IF($A21=0,0,Inputs!$B$41*(1+Inputs!$B$51)^($B21-1))</f>
        <v>147000</v>
      </c>
      <c r="J21" s="50">
        <f>IF($A21=0,0,Inputs!$B$42*(1+Inputs!$B$51)^($B21-1))</f>
        <v>63000</v>
      </c>
      <c r="K21" s="50">
        <f>IF($A21=0,0,Inputs!$B$43*(1+Inputs!$B$51)^($B21-1))</f>
        <v>36750</v>
      </c>
      <c r="L21" s="50">
        <f>IF($A21=0,0,Inputs!$B$44*(1+Inputs!$B$51)^($B21-1))</f>
        <v>21000</v>
      </c>
      <c r="M21" s="50">
        <f>IF($A21=0,0,Inputs!$B$45*(1+Inputs!$B$51)^($B21-1))</f>
        <v>15750</v>
      </c>
      <c r="N21" s="50">
        <f>IF($A21=0,0,Inputs!$B$46*(1+Inputs!$B$51)^($B21-1))</f>
        <v>10500</v>
      </c>
      <c r="O21" s="50">
        <f>IF($A21=0,0,Inputs!$B$47*(1+Inputs!$B$51)^($B21-1))</f>
        <v>12600</v>
      </c>
      <c r="P21" s="50">
        <f>IF($A21=0,0,Inputs!$B$48*(1+Inputs!$B$51)^($B21-1))</f>
        <v>8400</v>
      </c>
      <c r="Q21" s="50">
        <f>IF($A21=0,0,Inputs!$B$50*(1+Inputs!$B$51)^($B21-1))</f>
        <v>1575</v>
      </c>
      <c r="R21" s="50">
        <f t="shared" si="2"/>
        <v>267750</v>
      </c>
      <c r="S21" s="50">
        <f t="shared" si="3"/>
        <v>1391250</v>
      </c>
      <c r="T21" s="51">
        <f t="shared" si="4"/>
        <v>750750</v>
      </c>
      <c r="U21" s="48">
        <f t="shared" si="5"/>
        <v>0.35049019607843135</v>
      </c>
      <c r="V21" s="50">
        <f>F21*MAX(0,1-(MIN(MAX(Inputs!$B$33,0),60)/30))+F20*MAX(0,1-ABS((MIN(MAX(Inputs!$B$33,0),60)/30)-1))+F19*MAX(0,(MIN(MAX(Inputs!$B$33,0),60)/30)-1)</f>
        <v>2142000</v>
      </c>
      <c r="W21" s="50">
        <f t="shared" si="6"/>
        <v>1391250</v>
      </c>
      <c r="X21" s="50">
        <f>IF($A21=0,Inputs!$B$56+Inputs!$B$19,0)</f>
        <v>0</v>
      </c>
      <c r="Y21" s="50">
        <f>IF($A21=0,Inputs!$B$58,0)</f>
        <v>0</v>
      </c>
      <c r="Z21" s="50">
        <f t="shared" si="7"/>
        <v>750750</v>
      </c>
      <c r="AA21" s="50">
        <f>F21*Inputs!$B$32</f>
        <v>4284000</v>
      </c>
      <c r="AB21" s="50">
        <f t="shared" si="14"/>
        <v>0</v>
      </c>
      <c r="AC21" s="50">
        <f t="shared" si="8"/>
        <v>750750</v>
      </c>
      <c r="AD21" s="51">
        <f t="shared" si="15"/>
        <v>-18700500</v>
      </c>
      <c r="AE21" s="50">
        <f t="shared" si="16"/>
        <v>-14416500</v>
      </c>
      <c r="AF21" s="50">
        <f>AD21+SUM(Y$5:Y21)</f>
        <v>-14800500</v>
      </c>
      <c r="AG21" s="47">
        <f>IF(AND($A21&gt;=1,COUNTIF(T21:T$41,"&lt;0")=0),$A21,"")</f>
        <v>16</v>
      </c>
      <c r="AH21" s="47" t="str">
        <f t="shared" si="9"/>
        <v/>
      </c>
      <c r="AI21" s="47" t="str">
        <f t="shared" si="10"/>
        <v/>
      </c>
      <c r="AJ21" s="52">
        <f t="shared" si="11"/>
        <v>21.42</v>
      </c>
      <c r="AK21" s="52">
        <f t="shared" si="12"/>
        <v>13.9125</v>
      </c>
      <c r="AL21" s="52">
        <f t="shared" si="13"/>
        <v>-187.005</v>
      </c>
    </row>
    <row r="22" spans="1:38" x14ac:dyDescent="0.2">
      <c r="A22" s="46">
        <v>17</v>
      </c>
      <c r="B22" s="47">
        <f t="shared" si="0"/>
        <v>2</v>
      </c>
      <c r="C22" s="48">
        <f>IF($A22=0,0,IF(OR(Inputs!$B$38&lt;=1,$A22&gt;=Inputs!$B$38),Inputs!$B$37,Inputs!$B$36+(Inputs!$B$37-Inputs!$B$36)*($A22-1)/(Inputs!$B$38-1)))</f>
        <v>0.85</v>
      </c>
      <c r="D22" s="49">
        <f>ROUNDDOWN(INT(Inputs!$B$7)*C22+0.000000001,0)</f>
        <v>170</v>
      </c>
      <c r="E22" s="50">
        <f>IF($A22=0,0,Inputs!$B$28*(1+Inputs!$B$29)^($B22-1))</f>
        <v>12600</v>
      </c>
      <c r="F22" s="50">
        <f t="shared" si="1"/>
        <v>2142000</v>
      </c>
      <c r="G22" s="50">
        <f>IF($A22&lt;=MAX(Inputs!$B$12,0),0,Inputs!$B$6*Inputs!$B$10*(1+Inputs!$B$13)^($B22-1))</f>
        <v>682500</v>
      </c>
      <c r="H22" s="50">
        <f>IF($A22=0,0,Inputs!$B$6*Inputs!$B$11*(1+Inputs!$B$13)^($B22-1))</f>
        <v>126000</v>
      </c>
      <c r="I22" s="50">
        <f>IF($A22=0,0,Inputs!$B$41*(1+Inputs!$B$51)^($B22-1))</f>
        <v>147000</v>
      </c>
      <c r="J22" s="50">
        <f>IF($A22=0,0,Inputs!$B$42*(1+Inputs!$B$51)^($B22-1))</f>
        <v>63000</v>
      </c>
      <c r="K22" s="50">
        <f>IF($A22=0,0,Inputs!$B$43*(1+Inputs!$B$51)^($B22-1))</f>
        <v>36750</v>
      </c>
      <c r="L22" s="50">
        <f>IF($A22=0,0,Inputs!$B$44*(1+Inputs!$B$51)^($B22-1))</f>
        <v>21000</v>
      </c>
      <c r="M22" s="50">
        <f>IF($A22=0,0,Inputs!$B$45*(1+Inputs!$B$51)^($B22-1))</f>
        <v>15750</v>
      </c>
      <c r="N22" s="50">
        <f>IF($A22=0,0,Inputs!$B$46*(1+Inputs!$B$51)^($B22-1))</f>
        <v>10500</v>
      </c>
      <c r="O22" s="50">
        <f>IF($A22=0,0,Inputs!$B$47*(1+Inputs!$B$51)^($B22-1))</f>
        <v>12600</v>
      </c>
      <c r="P22" s="50">
        <f>IF($A22=0,0,Inputs!$B$48*(1+Inputs!$B$51)^($B22-1))</f>
        <v>8400</v>
      </c>
      <c r="Q22" s="50">
        <f>IF($A22=0,0,Inputs!$B$50*(1+Inputs!$B$51)^($B22-1))</f>
        <v>1575</v>
      </c>
      <c r="R22" s="50">
        <f t="shared" si="2"/>
        <v>267750</v>
      </c>
      <c r="S22" s="50">
        <f t="shared" si="3"/>
        <v>1391250</v>
      </c>
      <c r="T22" s="51">
        <f t="shared" si="4"/>
        <v>750750</v>
      </c>
      <c r="U22" s="48">
        <f t="shared" si="5"/>
        <v>0.35049019607843135</v>
      </c>
      <c r="V22" s="50">
        <f>F22*MAX(0,1-(MIN(MAX(Inputs!$B$33,0),60)/30))+F21*MAX(0,1-ABS((MIN(MAX(Inputs!$B$33,0),60)/30)-1))+F20*MAX(0,(MIN(MAX(Inputs!$B$33,0),60)/30)-1)</f>
        <v>2142000</v>
      </c>
      <c r="W22" s="50">
        <f t="shared" si="6"/>
        <v>1391250</v>
      </c>
      <c r="X22" s="50">
        <f>IF($A22=0,Inputs!$B$56+Inputs!$B$19,0)</f>
        <v>0</v>
      </c>
      <c r="Y22" s="50">
        <f>IF($A22=0,Inputs!$B$58,0)</f>
        <v>0</v>
      </c>
      <c r="Z22" s="50">
        <f t="shared" si="7"/>
        <v>750750</v>
      </c>
      <c r="AA22" s="50">
        <f>F22*Inputs!$B$32</f>
        <v>4284000</v>
      </c>
      <c r="AB22" s="50">
        <f t="shared" si="14"/>
        <v>0</v>
      </c>
      <c r="AC22" s="50">
        <f t="shared" si="8"/>
        <v>750750</v>
      </c>
      <c r="AD22" s="51">
        <f t="shared" si="15"/>
        <v>-17949750</v>
      </c>
      <c r="AE22" s="50">
        <f t="shared" si="16"/>
        <v>-13665750</v>
      </c>
      <c r="AF22" s="50">
        <f>AD22+SUM(Y$5:Y22)</f>
        <v>-14049750</v>
      </c>
      <c r="AG22" s="47">
        <f>IF(AND($A22&gt;=1,COUNTIF(T22:T$41,"&lt;0")=0),$A22,"")</f>
        <v>17</v>
      </c>
      <c r="AH22" s="47" t="str">
        <f t="shared" si="9"/>
        <v/>
      </c>
      <c r="AI22" s="47" t="str">
        <f t="shared" si="10"/>
        <v/>
      </c>
      <c r="AJ22" s="52">
        <f t="shared" si="11"/>
        <v>21.42</v>
      </c>
      <c r="AK22" s="52">
        <f t="shared" si="12"/>
        <v>13.9125</v>
      </c>
      <c r="AL22" s="52">
        <f t="shared" si="13"/>
        <v>-179.4975</v>
      </c>
    </row>
    <row r="23" spans="1:38" x14ac:dyDescent="0.2">
      <c r="A23" s="46">
        <v>18</v>
      </c>
      <c r="B23" s="47">
        <f t="shared" si="0"/>
        <v>2</v>
      </c>
      <c r="C23" s="48">
        <f>IF($A23=0,0,IF(OR(Inputs!$B$38&lt;=1,$A23&gt;=Inputs!$B$38),Inputs!$B$37,Inputs!$B$36+(Inputs!$B$37-Inputs!$B$36)*($A23-1)/(Inputs!$B$38-1)))</f>
        <v>0.85</v>
      </c>
      <c r="D23" s="49">
        <f>ROUNDDOWN(INT(Inputs!$B$7)*C23+0.000000001,0)</f>
        <v>170</v>
      </c>
      <c r="E23" s="50">
        <f>IF($A23=0,0,Inputs!$B$28*(1+Inputs!$B$29)^($B23-1))</f>
        <v>12600</v>
      </c>
      <c r="F23" s="50">
        <f t="shared" si="1"/>
        <v>2142000</v>
      </c>
      <c r="G23" s="50">
        <f>IF($A23&lt;=MAX(Inputs!$B$12,0),0,Inputs!$B$6*Inputs!$B$10*(1+Inputs!$B$13)^($B23-1))</f>
        <v>682500</v>
      </c>
      <c r="H23" s="50">
        <f>IF($A23=0,0,Inputs!$B$6*Inputs!$B$11*(1+Inputs!$B$13)^($B23-1))</f>
        <v>126000</v>
      </c>
      <c r="I23" s="50">
        <f>IF($A23=0,0,Inputs!$B$41*(1+Inputs!$B$51)^($B23-1))</f>
        <v>147000</v>
      </c>
      <c r="J23" s="50">
        <f>IF($A23=0,0,Inputs!$B$42*(1+Inputs!$B$51)^($B23-1))</f>
        <v>63000</v>
      </c>
      <c r="K23" s="50">
        <f>IF($A23=0,0,Inputs!$B$43*(1+Inputs!$B$51)^($B23-1))</f>
        <v>36750</v>
      </c>
      <c r="L23" s="50">
        <f>IF($A23=0,0,Inputs!$B$44*(1+Inputs!$B$51)^($B23-1))</f>
        <v>21000</v>
      </c>
      <c r="M23" s="50">
        <f>IF($A23=0,0,Inputs!$B$45*(1+Inputs!$B$51)^($B23-1))</f>
        <v>15750</v>
      </c>
      <c r="N23" s="50">
        <f>IF($A23=0,0,Inputs!$B$46*(1+Inputs!$B$51)^($B23-1))</f>
        <v>10500</v>
      </c>
      <c r="O23" s="50">
        <f>IF($A23=0,0,Inputs!$B$47*(1+Inputs!$B$51)^($B23-1))</f>
        <v>12600</v>
      </c>
      <c r="P23" s="50">
        <f>IF($A23=0,0,Inputs!$B$48*(1+Inputs!$B$51)^($B23-1))</f>
        <v>8400</v>
      </c>
      <c r="Q23" s="50">
        <f>IF($A23=0,0,Inputs!$B$50*(1+Inputs!$B$51)^($B23-1))</f>
        <v>1575</v>
      </c>
      <c r="R23" s="50">
        <f t="shared" si="2"/>
        <v>267750</v>
      </c>
      <c r="S23" s="50">
        <f t="shared" si="3"/>
        <v>1391250</v>
      </c>
      <c r="T23" s="51">
        <f t="shared" si="4"/>
        <v>750750</v>
      </c>
      <c r="U23" s="48">
        <f t="shared" si="5"/>
        <v>0.35049019607843135</v>
      </c>
      <c r="V23" s="50">
        <f>F23*MAX(0,1-(MIN(MAX(Inputs!$B$33,0),60)/30))+F22*MAX(0,1-ABS((MIN(MAX(Inputs!$B$33,0),60)/30)-1))+F21*MAX(0,(MIN(MAX(Inputs!$B$33,0),60)/30)-1)</f>
        <v>2142000</v>
      </c>
      <c r="W23" s="50">
        <f t="shared" si="6"/>
        <v>1391250</v>
      </c>
      <c r="X23" s="50">
        <f>IF($A23=0,Inputs!$B$56+Inputs!$B$19,0)</f>
        <v>0</v>
      </c>
      <c r="Y23" s="50">
        <f>IF($A23=0,Inputs!$B$58,0)</f>
        <v>0</v>
      </c>
      <c r="Z23" s="50">
        <f t="shared" si="7"/>
        <v>750750</v>
      </c>
      <c r="AA23" s="50">
        <f>F23*Inputs!$B$32</f>
        <v>4284000</v>
      </c>
      <c r="AB23" s="50">
        <f t="shared" si="14"/>
        <v>0</v>
      </c>
      <c r="AC23" s="50">
        <f t="shared" si="8"/>
        <v>750750</v>
      </c>
      <c r="AD23" s="51">
        <f t="shared" si="15"/>
        <v>-17199000</v>
      </c>
      <c r="AE23" s="50">
        <f t="shared" si="16"/>
        <v>-12915000</v>
      </c>
      <c r="AF23" s="50">
        <f>AD23+SUM(Y$5:Y23)</f>
        <v>-13299000</v>
      </c>
      <c r="AG23" s="47">
        <f>IF(AND($A23&gt;=1,COUNTIF(T23:T$41,"&lt;0")=0),$A23,"")</f>
        <v>18</v>
      </c>
      <c r="AH23" s="47" t="str">
        <f t="shared" si="9"/>
        <v/>
      </c>
      <c r="AI23" s="47" t="str">
        <f t="shared" si="10"/>
        <v/>
      </c>
      <c r="AJ23" s="52">
        <f t="shared" si="11"/>
        <v>21.42</v>
      </c>
      <c r="AK23" s="52">
        <f t="shared" si="12"/>
        <v>13.9125</v>
      </c>
      <c r="AL23" s="52">
        <f t="shared" si="13"/>
        <v>-171.99</v>
      </c>
    </row>
    <row r="24" spans="1:38" x14ac:dyDescent="0.2">
      <c r="A24" s="46">
        <v>19</v>
      </c>
      <c r="B24" s="47">
        <f t="shared" si="0"/>
        <v>2</v>
      </c>
      <c r="C24" s="48">
        <f>IF($A24=0,0,IF(OR(Inputs!$B$38&lt;=1,$A24&gt;=Inputs!$B$38),Inputs!$B$37,Inputs!$B$36+(Inputs!$B$37-Inputs!$B$36)*($A24-1)/(Inputs!$B$38-1)))</f>
        <v>0.85</v>
      </c>
      <c r="D24" s="49">
        <f>ROUNDDOWN(INT(Inputs!$B$7)*C24+0.000000001,0)</f>
        <v>170</v>
      </c>
      <c r="E24" s="50">
        <f>IF($A24=0,0,Inputs!$B$28*(1+Inputs!$B$29)^($B24-1))</f>
        <v>12600</v>
      </c>
      <c r="F24" s="50">
        <f t="shared" si="1"/>
        <v>2142000</v>
      </c>
      <c r="G24" s="50">
        <f>IF($A24&lt;=MAX(Inputs!$B$12,0),0,Inputs!$B$6*Inputs!$B$10*(1+Inputs!$B$13)^($B24-1))</f>
        <v>682500</v>
      </c>
      <c r="H24" s="50">
        <f>IF($A24=0,0,Inputs!$B$6*Inputs!$B$11*(1+Inputs!$B$13)^($B24-1))</f>
        <v>126000</v>
      </c>
      <c r="I24" s="50">
        <f>IF($A24=0,0,Inputs!$B$41*(1+Inputs!$B$51)^($B24-1))</f>
        <v>147000</v>
      </c>
      <c r="J24" s="50">
        <f>IF($A24=0,0,Inputs!$B$42*(1+Inputs!$B$51)^($B24-1))</f>
        <v>63000</v>
      </c>
      <c r="K24" s="50">
        <f>IF($A24=0,0,Inputs!$B$43*(1+Inputs!$B$51)^($B24-1))</f>
        <v>36750</v>
      </c>
      <c r="L24" s="50">
        <f>IF($A24=0,0,Inputs!$B$44*(1+Inputs!$B$51)^($B24-1))</f>
        <v>21000</v>
      </c>
      <c r="M24" s="50">
        <f>IF($A24=0,0,Inputs!$B$45*(1+Inputs!$B$51)^($B24-1))</f>
        <v>15750</v>
      </c>
      <c r="N24" s="50">
        <f>IF($A24=0,0,Inputs!$B$46*(1+Inputs!$B$51)^($B24-1))</f>
        <v>10500</v>
      </c>
      <c r="O24" s="50">
        <f>IF($A24=0,0,Inputs!$B$47*(1+Inputs!$B$51)^($B24-1))</f>
        <v>12600</v>
      </c>
      <c r="P24" s="50">
        <f>IF($A24=0,0,Inputs!$B$48*(1+Inputs!$B$51)^($B24-1))</f>
        <v>8400</v>
      </c>
      <c r="Q24" s="50">
        <f>IF($A24=0,0,Inputs!$B$50*(1+Inputs!$B$51)^($B24-1))</f>
        <v>1575</v>
      </c>
      <c r="R24" s="50">
        <f t="shared" si="2"/>
        <v>267750</v>
      </c>
      <c r="S24" s="50">
        <f t="shared" si="3"/>
        <v>1391250</v>
      </c>
      <c r="T24" s="51">
        <f t="shared" si="4"/>
        <v>750750</v>
      </c>
      <c r="U24" s="48">
        <f t="shared" si="5"/>
        <v>0.35049019607843135</v>
      </c>
      <c r="V24" s="50">
        <f>F24*MAX(0,1-(MIN(MAX(Inputs!$B$33,0),60)/30))+F23*MAX(0,1-ABS((MIN(MAX(Inputs!$B$33,0),60)/30)-1))+F22*MAX(0,(MIN(MAX(Inputs!$B$33,0),60)/30)-1)</f>
        <v>2142000</v>
      </c>
      <c r="W24" s="50">
        <f t="shared" si="6"/>
        <v>1391250</v>
      </c>
      <c r="X24" s="50">
        <f>IF($A24=0,Inputs!$B$56+Inputs!$B$19,0)</f>
        <v>0</v>
      </c>
      <c r="Y24" s="50">
        <f>IF($A24=0,Inputs!$B$58,0)</f>
        <v>0</v>
      </c>
      <c r="Z24" s="50">
        <f t="shared" si="7"/>
        <v>750750</v>
      </c>
      <c r="AA24" s="50">
        <f>F24*Inputs!$B$32</f>
        <v>4284000</v>
      </c>
      <c r="AB24" s="50">
        <f t="shared" si="14"/>
        <v>0</v>
      </c>
      <c r="AC24" s="50">
        <f t="shared" si="8"/>
        <v>750750</v>
      </c>
      <c r="AD24" s="51">
        <f t="shared" si="15"/>
        <v>-16448250</v>
      </c>
      <c r="AE24" s="50">
        <f t="shared" si="16"/>
        <v>-12164250</v>
      </c>
      <c r="AF24" s="50">
        <f>AD24+SUM(Y$5:Y24)</f>
        <v>-12548250</v>
      </c>
      <c r="AG24" s="47">
        <f>IF(AND($A24&gt;=1,COUNTIF(T24:T$41,"&lt;0")=0),$A24,"")</f>
        <v>19</v>
      </c>
      <c r="AH24" s="47" t="str">
        <f t="shared" si="9"/>
        <v/>
      </c>
      <c r="AI24" s="47" t="str">
        <f t="shared" si="10"/>
        <v/>
      </c>
      <c r="AJ24" s="52">
        <f t="shared" si="11"/>
        <v>21.42</v>
      </c>
      <c r="AK24" s="52">
        <f t="shared" si="12"/>
        <v>13.9125</v>
      </c>
      <c r="AL24" s="52">
        <f t="shared" si="13"/>
        <v>-164.48249999999999</v>
      </c>
    </row>
    <row r="25" spans="1:38" x14ac:dyDescent="0.2">
      <c r="A25" s="46">
        <v>20</v>
      </c>
      <c r="B25" s="47">
        <f t="shared" si="0"/>
        <v>2</v>
      </c>
      <c r="C25" s="48">
        <f>IF($A25=0,0,IF(OR(Inputs!$B$38&lt;=1,$A25&gt;=Inputs!$B$38),Inputs!$B$37,Inputs!$B$36+(Inputs!$B$37-Inputs!$B$36)*($A25-1)/(Inputs!$B$38-1)))</f>
        <v>0.85</v>
      </c>
      <c r="D25" s="49">
        <f>ROUNDDOWN(INT(Inputs!$B$7)*C25+0.000000001,0)</f>
        <v>170</v>
      </c>
      <c r="E25" s="50">
        <f>IF($A25=0,0,Inputs!$B$28*(1+Inputs!$B$29)^($B25-1))</f>
        <v>12600</v>
      </c>
      <c r="F25" s="50">
        <f t="shared" si="1"/>
        <v>2142000</v>
      </c>
      <c r="G25" s="50">
        <f>IF($A25&lt;=MAX(Inputs!$B$12,0),0,Inputs!$B$6*Inputs!$B$10*(1+Inputs!$B$13)^($B25-1))</f>
        <v>682500</v>
      </c>
      <c r="H25" s="50">
        <f>IF($A25=0,0,Inputs!$B$6*Inputs!$B$11*(1+Inputs!$B$13)^($B25-1))</f>
        <v>126000</v>
      </c>
      <c r="I25" s="50">
        <f>IF($A25=0,0,Inputs!$B$41*(1+Inputs!$B$51)^($B25-1))</f>
        <v>147000</v>
      </c>
      <c r="J25" s="50">
        <f>IF($A25=0,0,Inputs!$B$42*(1+Inputs!$B$51)^($B25-1))</f>
        <v>63000</v>
      </c>
      <c r="K25" s="50">
        <f>IF($A25=0,0,Inputs!$B$43*(1+Inputs!$B$51)^($B25-1))</f>
        <v>36750</v>
      </c>
      <c r="L25" s="50">
        <f>IF($A25=0,0,Inputs!$B$44*(1+Inputs!$B$51)^($B25-1))</f>
        <v>21000</v>
      </c>
      <c r="M25" s="50">
        <f>IF($A25=0,0,Inputs!$B$45*(1+Inputs!$B$51)^($B25-1))</f>
        <v>15750</v>
      </c>
      <c r="N25" s="50">
        <f>IF($A25=0,0,Inputs!$B$46*(1+Inputs!$B$51)^($B25-1))</f>
        <v>10500</v>
      </c>
      <c r="O25" s="50">
        <f>IF($A25=0,0,Inputs!$B$47*(1+Inputs!$B$51)^($B25-1))</f>
        <v>12600</v>
      </c>
      <c r="P25" s="50">
        <f>IF($A25=0,0,Inputs!$B$48*(1+Inputs!$B$51)^($B25-1))</f>
        <v>8400</v>
      </c>
      <c r="Q25" s="50">
        <f>IF($A25=0,0,Inputs!$B$50*(1+Inputs!$B$51)^($B25-1))</f>
        <v>1575</v>
      </c>
      <c r="R25" s="50">
        <f t="shared" si="2"/>
        <v>267750</v>
      </c>
      <c r="S25" s="50">
        <f t="shared" si="3"/>
        <v>1391250</v>
      </c>
      <c r="T25" s="51">
        <f t="shared" si="4"/>
        <v>750750</v>
      </c>
      <c r="U25" s="48">
        <f t="shared" si="5"/>
        <v>0.35049019607843135</v>
      </c>
      <c r="V25" s="50">
        <f>F25*MAX(0,1-(MIN(MAX(Inputs!$B$33,0),60)/30))+F24*MAX(0,1-ABS((MIN(MAX(Inputs!$B$33,0),60)/30)-1))+F23*MAX(0,(MIN(MAX(Inputs!$B$33,0),60)/30)-1)</f>
        <v>2142000</v>
      </c>
      <c r="W25" s="50">
        <f t="shared" si="6"/>
        <v>1391250</v>
      </c>
      <c r="X25" s="50">
        <f>IF($A25=0,Inputs!$B$56+Inputs!$B$19,0)</f>
        <v>0</v>
      </c>
      <c r="Y25" s="50">
        <f>IF($A25=0,Inputs!$B$58,0)</f>
        <v>0</v>
      </c>
      <c r="Z25" s="50">
        <f t="shared" si="7"/>
        <v>750750</v>
      </c>
      <c r="AA25" s="50">
        <f>F25*Inputs!$B$32</f>
        <v>4284000</v>
      </c>
      <c r="AB25" s="50">
        <f t="shared" si="14"/>
        <v>0</v>
      </c>
      <c r="AC25" s="50">
        <f t="shared" si="8"/>
        <v>750750</v>
      </c>
      <c r="AD25" s="51">
        <f t="shared" si="15"/>
        <v>-15697500</v>
      </c>
      <c r="AE25" s="50">
        <f t="shared" si="16"/>
        <v>-11413500</v>
      </c>
      <c r="AF25" s="50">
        <f>AD25+SUM(Y$5:Y25)</f>
        <v>-11797500</v>
      </c>
      <c r="AG25" s="47">
        <f>IF(AND($A25&gt;=1,COUNTIF(T25:T$41,"&lt;0")=0),$A25,"")</f>
        <v>20</v>
      </c>
      <c r="AH25" s="47" t="str">
        <f t="shared" si="9"/>
        <v/>
      </c>
      <c r="AI25" s="47" t="str">
        <f t="shared" si="10"/>
        <v/>
      </c>
      <c r="AJ25" s="52">
        <f t="shared" si="11"/>
        <v>21.42</v>
      </c>
      <c r="AK25" s="52">
        <f t="shared" si="12"/>
        <v>13.9125</v>
      </c>
      <c r="AL25" s="52">
        <f t="shared" si="13"/>
        <v>-156.97499999999999</v>
      </c>
    </row>
    <row r="26" spans="1:38" x14ac:dyDescent="0.2">
      <c r="A26" s="46">
        <v>21</v>
      </c>
      <c r="B26" s="47">
        <f t="shared" si="0"/>
        <v>2</v>
      </c>
      <c r="C26" s="48">
        <f>IF($A26=0,0,IF(OR(Inputs!$B$38&lt;=1,$A26&gt;=Inputs!$B$38),Inputs!$B$37,Inputs!$B$36+(Inputs!$B$37-Inputs!$B$36)*($A26-1)/(Inputs!$B$38-1)))</f>
        <v>0.85</v>
      </c>
      <c r="D26" s="49">
        <f>ROUNDDOWN(INT(Inputs!$B$7)*C26+0.000000001,0)</f>
        <v>170</v>
      </c>
      <c r="E26" s="50">
        <f>IF($A26=0,0,Inputs!$B$28*(1+Inputs!$B$29)^($B26-1))</f>
        <v>12600</v>
      </c>
      <c r="F26" s="50">
        <f t="shared" si="1"/>
        <v>2142000</v>
      </c>
      <c r="G26" s="50">
        <f>IF($A26&lt;=MAX(Inputs!$B$12,0),0,Inputs!$B$6*Inputs!$B$10*(1+Inputs!$B$13)^($B26-1))</f>
        <v>682500</v>
      </c>
      <c r="H26" s="50">
        <f>IF($A26=0,0,Inputs!$B$6*Inputs!$B$11*(1+Inputs!$B$13)^($B26-1))</f>
        <v>126000</v>
      </c>
      <c r="I26" s="50">
        <f>IF($A26=0,0,Inputs!$B$41*(1+Inputs!$B$51)^($B26-1))</f>
        <v>147000</v>
      </c>
      <c r="J26" s="50">
        <f>IF($A26=0,0,Inputs!$B$42*(1+Inputs!$B$51)^($B26-1))</f>
        <v>63000</v>
      </c>
      <c r="K26" s="50">
        <f>IF($A26=0,0,Inputs!$B$43*(1+Inputs!$B$51)^($B26-1))</f>
        <v>36750</v>
      </c>
      <c r="L26" s="50">
        <f>IF($A26=0,0,Inputs!$B$44*(1+Inputs!$B$51)^($B26-1))</f>
        <v>21000</v>
      </c>
      <c r="M26" s="50">
        <f>IF($A26=0,0,Inputs!$B$45*(1+Inputs!$B$51)^($B26-1))</f>
        <v>15750</v>
      </c>
      <c r="N26" s="50">
        <f>IF($A26=0,0,Inputs!$B$46*(1+Inputs!$B$51)^($B26-1))</f>
        <v>10500</v>
      </c>
      <c r="O26" s="50">
        <f>IF($A26=0,0,Inputs!$B$47*(1+Inputs!$B$51)^($B26-1))</f>
        <v>12600</v>
      </c>
      <c r="P26" s="50">
        <f>IF($A26=0,0,Inputs!$B$48*(1+Inputs!$B$51)^($B26-1))</f>
        <v>8400</v>
      </c>
      <c r="Q26" s="50">
        <f>IF($A26=0,0,Inputs!$B$50*(1+Inputs!$B$51)^($B26-1))</f>
        <v>1575</v>
      </c>
      <c r="R26" s="50">
        <f t="shared" si="2"/>
        <v>267750</v>
      </c>
      <c r="S26" s="50">
        <f t="shared" si="3"/>
        <v>1391250</v>
      </c>
      <c r="T26" s="51">
        <f t="shared" si="4"/>
        <v>750750</v>
      </c>
      <c r="U26" s="48">
        <f t="shared" si="5"/>
        <v>0.35049019607843135</v>
      </c>
      <c r="V26" s="50">
        <f>F26*MAX(0,1-(MIN(MAX(Inputs!$B$33,0),60)/30))+F25*MAX(0,1-ABS((MIN(MAX(Inputs!$B$33,0),60)/30)-1))+F24*MAX(0,(MIN(MAX(Inputs!$B$33,0),60)/30)-1)</f>
        <v>2142000</v>
      </c>
      <c r="W26" s="50">
        <f t="shared" si="6"/>
        <v>1391250</v>
      </c>
      <c r="X26" s="50">
        <f>IF($A26=0,Inputs!$B$56+Inputs!$B$19,0)</f>
        <v>0</v>
      </c>
      <c r="Y26" s="50">
        <f>IF($A26=0,Inputs!$B$58,0)</f>
        <v>0</v>
      </c>
      <c r="Z26" s="50">
        <f t="shared" si="7"/>
        <v>750750</v>
      </c>
      <c r="AA26" s="50">
        <f>F26*Inputs!$B$32</f>
        <v>4284000</v>
      </c>
      <c r="AB26" s="50">
        <f t="shared" si="14"/>
        <v>0</v>
      </c>
      <c r="AC26" s="50">
        <f t="shared" si="8"/>
        <v>750750</v>
      </c>
      <c r="AD26" s="51">
        <f t="shared" si="15"/>
        <v>-14946750</v>
      </c>
      <c r="AE26" s="50">
        <f t="shared" si="16"/>
        <v>-10662750</v>
      </c>
      <c r="AF26" s="50">
        <f>AD26+SUM(Y$5:Y26)</f>
        <v>-11046750</v>
      </c>
      <c r="AG26" s="47">
        <f>IF(AND($A26&gt;=1,COUNTIF(T26:T$41,"&lt;0")=0),$A26,"")</f>
        <v>21</v>
      </c>
      <c r="AH26" s="47" t="str">
        <f t="shared" si="9"/>
        <v/>
      </c>
      <c r="AI26" s="47" t="str">
        <f t="shared" si="10"/>
        <v/>
      </c>
      <c r="AJ26" s="52">
        <f t="shared" si="11"/>
        <v>21.42</v>
      </c>
      <c r="AK26" s="52">
        <f t="shared" si="12"/>
        <v>13.9125</v>
      </c>
      <c r="AL26" s="52">
        <f t="shared" si="13"/>
        <v>-149.4675</v>
      </c>
    </row>
    <row r="27" spans="1:38" x14ac:dyDescent="0.2">
      <c r="A27" s="46">
        <v>22</v>
      </c>
      <c r="B27" s="47">
        <f t="shared" si="0"/>
        <v>2</v>
      </c>
      <c r="C27" s="48">
        <f>IF($A27=0,0,IF(OR(Inputs!$B$38&lt;=1,$A27&gt;=Inputs!$B$38),Inputs!$B$37,Inputs!$B$36+(Inputs!$B$37-Inputs!$B$36)*($A27-1)/(Inputs!$B$38-1)))</f>
        <v>0.85</v>
      </c>
      <c r="D27" s="49">
        <f>ROUNDDOWN(INT(Inputs!$B$7)*C27+0.000000001,0)</f>
        <v>170</v>
      </c>
      <c r="E27" s="50">
        <f>IF($A27=0,0,Inputs!$B$28*(1+Inputs!$B$29)^($B27-1))</f>
        <v>12600</v>
      </c>
      <c r="F27" s="50">
        <f t="shared" si="1"/>
        <v>2142000</v>
      </c>
      <c r="G27" s="50">
        <f>IF($A27&lt;=MAX(Inputs!$B$12,0),0,Inputs!$B$6*Inputs!$B$10*(1+Inputs!$B$13)^($B27-1))</f>
        <v>682500</v>
      </c>
      <c r="H27" s="50">
        <f>IF($A27=0,0,Inputs!$B$6*Inputs!$B$11*(1+Inputs!$B$13)^($B27-1))</f>
        <v>126000</v>
      </c>
      <c r="I27" s="50">
        <f>IF($A27=0,0,Inputs!$B$41*(1+Inputs!$B$51)^($B27-1))</f>
        <v>147000</v>
      </c>
      <c r="J27" s="50">
        <f>IF($A27=0,0,Inputs!$B$42*(1+Inputs!$B$51)^($B27-1))</f>
        <v>63000</v>
      </c>
      <c r="K27" s="50">
        <f>IF($A27=0,0,Inputs!$B$43*(1+Inputs!$B$51)^($B27-1))</f>
        <v>36750</v>
      </c>
      <c r="L27" s="50">
        <f>IF($A27=0,0,Inputs!$B$44*(1+Inputs!$B$51)^($B27-1))</f>
        <v>21000</v>
      </c>
      <c r="M27" s="50">
        <f>IF($A27=0,0,Inputs!$B$45*(1+Inputs!$B$51)^($B27-1))</f>
        <v>15750</v>
      </c>
      <c r="N27" s="50">
        <f>IF($A27=0,0,Inputs!$B$46*(1+Inputs!$B$51)^($B27-1))</f>
        <v>10500</v>
      </c>
      <c r="O27" s="50">
        <f>IF($A27=0,0,Inputs!$B$47*(1+Inputs!$B$51)^($B27-1))</f>
        <v>12600</v>
      </c>
      <c r="P27" s="50">
        <f>IF($A27=0,0,Inputs!$B$48*(1+Inputs!$B$51)^($B27-1))</f>
        <v>8400</v>
      </c>
      <c r="Q27" s="50">
        <f>IF($A27=0,0,Inputs!$B$50*(1+Inputs!$B$51)^($B27-1))</f>
        <v>1575</v>
      </c>
      <c r="R27" s="50">
        <f t="shared" si="2"/>
        <v>267750</v>
      </c>
      <c r="S27" s="50">
        <f t="shared" si="3"/>
        <v>1391250</v>
      </c>
      <c r="T27" s="51">
        <f t="shared" si="4"/>
        <v>750750</v>
      </c>
      <c r="U27" s="48">
        <f t="shared" si="5"/>
        <v>0.35049019607843135</v>
      </c>
      <c r="V27" s="50">
        <f>F27*MAX(0,1-(MIN(MAX(Inputs!$B$33,0),60)/30))+F26*MAX(0,1-ABS((MIN(MAX(Inputs!$B$33,0),60)/30)-1))+F25*MAX(0,(MIN(MAX(Inputs!$B$33,0),60)/30)-1)</f>
        <v>2142000</v>
      </c>
      <c r="W27" s="50">
        <f t="shared" si="6"/>
        <v>1391250</v>
      </c>
      <c r="X27" s="50">
        <f>IF($A27=0,Inputs!$B$56+Inputs!$B$19,0)</f>
        <v>0</v>
      </c>
      <c r="Y27" s="50">
        <f>IF($A27=0,Inputs!$B$58,0)</f>
        <v>0</v>
      </c>
      <c r="Z27" s="50">
        <f t="shared" si="7"/>
        <v>750750</v>
      </c>
      <c r="AA27" s="50">
        <f>F27*Inputs!$B$32</f>
        <v>4284000</v>
      </c>
      <c r="AB27" s="50">
        <f t="shared" si="14"/>
        <v>0</v>
      </c>
      <c r="AC27" s="50">
        <f t="shared" si="8"/>
        <v>750750</v>
      </c>
      <c r="AD27" s="51">
        <f t="shared" si="15"/>
        <v>-14196000</v>
      </c>
      <c r="AE27" s="50">
        <f t="shared" si="16"/>
        <v>-9912000</v>
      </c>
      <c r="AF27" s="50">
        <f>AD27+SUM(Y$5:Y27)</f>
        <v>-10296000</v>
      </c>
      <c r="AG27" s="47">
        <f>IF(AND($A27&gt;=1,COUNTIF(T27:T$41,"&lt;0")=0),$A27,"")</f>
        <v>22</v>
      </c>
      <c r="AH27" s="47" t="str">
        <f t="shared" si="9"/>
        <v/>
      </c>
      <c r="AI27" s="47" t="str">
        <f t="shared" si="10"/>
        <v/>
      </c>
      <c r="AJ27" s="52">
        <f t="shared" si="11"/>
        <v>21.42</v>
      </c>
      <c r="AK27" s="52">
        <f t="shared" si="12"/>
        <v>13.9125</v>
      </c>
      <c r="AL27" s="52">
        <f t="shared" si="13"/>
        <v>-141.96</v>
      </c>
    </row>
    <row r="28" spans="1:38" x14ac:dyDescent="0.2">
      <c r="A28" s="46">
        <v>23</v>
      </c>
      <c r="B28" s="47">
        <f t="shared" si="0"/>
        <v>2</v>
      </c>
      <c r="C28" s="48">
        <f>IF($A28=0,0,IF(OR(Inputs!$B$38&lt;=1,$A28&gt;=Inputs!$B$38),Inputs!$B$37,Inputs!$B$36+(Inputs!$B$37-Inputs!$B$36)*($A28-1)/(Inputs!$B$38-1)))</f>
        <v>0.85</v>
      </c>
      <c r="D28" s="49">
        <f>ROUNDDOWN(INT(Inputs!$B$7)*C28+0.000000001,0)</f>
        <v>170</v>
      </c>
      <c r="E28" s="50">
        <f>IF($A28=0,0,Inputs!$B$28*(1+Inputs!$B$29)^($B28-1))</f>
        <v>12600</v>
      </c>
      <c r="F28" s="50">
        <f t="shared" si="1"/>
        <v>2142000</v>
      </c>
      <c r="G28" s="50">
        <f>IF($A28&lt;=MAX(Inputs!$B$12,0),0,Inputs!$B$6*Inputs!$B$10*(1+Inputs!$B$13)^($B28-1))</f>
        <v>682500</v>
      </c>
      <c r="H28" s="50">
        <f>IF($A28=0,0,Inputs!$B$6*Inputs!$B$11*(1+Inputs!$B$13)^($B28-1))</f>
        <v>126000</v>
      </c>
      <c r="I28" s="50">
        <f>IF($A28=0,0,Inputs!$B$41*(1+Inputs!$B$51)^($B28-1))</f>
        <v>147000</v>
      </c>
      <c r="J28" s="50">
        <f>IF($A28=0,0,Inputs!$B$42*(1+Inputs!$B$51)^($B28-1))</f>
        <v>63000</v>
      </c>
      <c r="K28" s="50">
        <f>IF($A28=0,0,Inputs!$B$43*(1+Inputs!$B$51)^($B28-1))</f>
        <v>36750</v>
      </c>
      <c r="L28" s="50">
        <f>IF($A28=0,0,Inputs!$B$44*(1+Inputs!$B$51)^($B28-1))</f>
        <v>21000</v>
      </c>
      <c r="M28" s="50">
        <f>IF($A28=0,0,Inputs!$B$45*(1+Inputs!$B$51)^($B28-1))</f>
        <v>15750</v>
      </c>
      <c r="N28" s="50">
        <f>IF($A28=0,0,Inputs!$B$46*(1+Inputs!$B$51)^($B28-1))</f>
        <v>10500</v>
      </c>
      <c r="O28" s="50">
        <f>IF($A28=0,0,Inputs!$B$47*(1+Inputs!$B$51)^($B28-1))</f>
        <v>12600</v>
      </c>
      <c r="P28" s="50">
        <f>IF($A28=0,0,Inputs!$B$48*(1+Inputs!$B$51)^($B28-1))</f>
        <v>8400</v>
      </c>
      <c r="Q28" s="50">
        <f>IF($A28=0,0,Inputs!$B$50*(1+Inputs!$B$51)^($B28-1))</f>
        <v>1575</v>
      </c>
      <c r="R28" s="50">
        <f t="shared" si="2"/>
        <v>267750</v>
      </c>
      <c r="S28" s="50">
        <f t="shared" si="3"/>
        <v>1391250</v>
      </c>
      <c r="T28" s="51">
        <f t="shared" si="4"/>
        <v>750750</v>
      </c>
      <c r="U28" s="48">
        <f t="shared" si="5"/>
        <v>0.35049019607843135</v>
      </c>
      <c r="V28" s="50">
        <f>F28*MAX(0,1-(MIN(MAX(Inputs!$B$33,0),60)/30))+F27*MAX(0,1-ABS((MIN(MAX(Inputs!$B$33,0),60)/30)-1))+F26*MAX(0,(MIN(MAX(Inputs!$B$33,0),60)/30)-1)</f>
        <v>2142000</v>
      </c>
      <c r="W28" s="50">
        <f t="shared" si="6"/>
        <v>1391250</v>
      </c>
      <c r="X28" s="50">
        <f>IF($A28=0,Inputs!$B$56+Inputs!$B$19,0)</f>
        <v>0</v>
      </c>
      <c r="Y28" s="50">
        <f>IF($A28=0,Inputs!$B$58,0)</f>
        <v>0</v>
      </c>
      <c r="Z28" s="50">
        <f t="shared" si="7"/>
        <v>750750</v>
      </c>
      <c r="AA28" s="50">
        <f>F28*Inputs!$B$32</f>
        <v>4284000</v>
      </c>
      <c r="AB28" s="50">
        <f t="shared" si="14"/>
        <v>0</v>
      </c>
      <c r="AC28" s="50">
        <f t="shared" si="8"/>
        <v>750750</v>
      </c>
      <c r="AD28" s="51">
        <f t="shared" si="15"/>
        <v>-13445250</v>
      </c>
      <c r="AE28" s="50">
        <f t="shared" si="16"/>
        <v>-9161250</v>
      </c>
      <c r="AF28" s="50">
        <f>AD28+SUM(Y$5:Y28)</f>
        <v>-9545250</v>
      </c>
      <c r="AG28" s="47">
        <f>IF(AND($A28&gt;=1,COUNTIF(T28:T$41,"&lt;0")=0),$A28,"")</f>
        <v>23</v>
      </c>
      <c r="AH28" s="47" t="str">
        <f t="shared" si="9"/>
        <v/>
      </c>
      <c r="AI28" s="47" t="str">
        <f t="shared" si="10"/>
        <v/>
      </c>
      <c r="AJ28" s="52">
        <f t="shared" si="11"/>
        <v>21.42</v>
      </c>
      <c r="AK28" s="52">
        <f t="shared" si="12"/>
        <v>13.9125</v>
      </c>
      <c r="AL28" s="52">
        <f t="shared" si="13"/>
        <v>-134.45249999999999</v>
      </c>
    </row>
    <row r="29" spans="1:38" x14ac:dyDescent="0.2">
      <c r="A29" s="46">
        <v>24</v>
      </c>
      <c r="B29" s="47">
        <f t="shared" si="0"/>
        <v>2</v>
      </c>
      <c r="C29" s="48">
        <f>IF($A29=0,0,IF(OR(Inputs!$B$38&lt;=1,$A29&gt;=Inputs!$B$38),Inputs!$B$37,Inputs!$B$36+(Inputs!$B$37-Inputs!$B$36)*($A29-1)/(Inputs!$B$38-1)))</f>
        <v>0.85</v>
      </c>
      <c r="D29" s="49">
        <f>ROUNDDOWN(INT(Inputs!$B$7)*C29+0.000000001,0)</f>
        <v>170</v>
      </c>
      <c r="E29" s="50">
        <f>IF($A29=0,0,Inputs!$B$28*(1+Inputs!$B$29)^($B29-1))</f>
        <v>12600</v>
      </c>
      <c r="F29" s="50">
        <f t="shared" si="1"/>
        <v>2142000</v>
      </c>
      <c r="G29" s="50">
        <f>IF($A29&lt;=MAX(Inputs!$B$12,0),0,Inputs!$B$6*Inputs!$B$10*(1+Inputs!$B$13)^($B29-1))</f>
        <v>682500</v>
      </c>
      <c r="H29" s="50">
        <f>IF($A29=0,0,Inputs!$B$6*Inputs!$B$11*(1+Inputs!$B$13)^($B29-1))</f>
        <v>126000</v>
      </c>
      <c r="I29" s="50">
        <f>IF($A29=0,0,Inputs!$B$41*(1+Inputs!$B$51)^($B29-1))</f>
        <v>147000</v>
      </c>
      <c r="J29" s="50">
        <f>IF($A29=0,0,Inputs!$B$42*(1+Inputs!$B$51)^($B29-1))</f>
        <v>63000</v>
      </c>
      <c r="K29" s="50">
        <f>IF($A29=0,0,Inputs!$B$43*(1+Inputs!$B$51)^($B29-1))</f>
        <v>36750</v>
      </c>
      <c r="L29" s="50">
        <f>IF($A29=0,0,Inputs!$B$44*(1+Inputs!$B$51)^($B29-1))</f>
        <v>21000</v>
      </c>
      <c r="M29" s="50">
        <f>IF($A29=0,0,Inputs!$B$45*(1+Inputs!$B$51)^($B29-1))</f>
        <v>15750</v>
      </c>
      <c r="N29" s="50">
        <f>IF($A29=0,0,Inputs!$B$46*(1+Inputs!$B$51)^($B29-1))</f>
        <v>10500</v>
      </c>
      <c r="O29" s="50">
        <f>IF($A29=0,0,Inputs!$B$47*(1+Inputs!$B$51)^($B29-1))</f>
        <v>12600</v>
      </c>
      <c r="P29" s="50">
        <f>IF($A29=0,0,Inputs!$B$48*(1+Inputs!$B$51)^($B29-1))</f>
        <v>8400</v>
      </c>
      <c r="Q29" s="50">
        <f>IF($A29=0,0,Inputs!$B$50*(1+Inputs!$B$51)^($B29-1))</f>
        <v>1575</v>
      </c>
      <c r="R29" s="50">
        <f t="shared" si="2"/>
        <v>267750</v>
      </c>
      <c r="S29" s="50">
        <f t="shared" si="3"/>
        <v>1391250</v>
      </c>
      <c r="T29" s="51">
        <f t="shared" si="4"/>
        <v>750750</v>
      </c>
      <c r="U29" s="48">
        <f t="shared" si="5"/>
        <v>0.35049019607843135</v>
      </c>
      <c r="V29" s="50">
        <f>F29*MAX(0,1-(MIN(MAX(Inputs!$B$33,0),60)/30))+F28*MAX(0,1-ABS((MIN(MAX(Inputs!$B$33,0),60)/30)-1))+F27*MAX(0,(MIN(MAX(Inputs!$B$33,0),60)/30)-1)</f>
        <v>2142000</v>
      </c>
      <c r="W29" s="50">
        <f t="shared" si="6"/>
        <v>1391250</v>
      </c>
      <c r="X29" s="50">
        <f>IF($A29=0,Inputs!$B$56+Inputs!$B$19,0)</f>
        <v>0</v>
      </c>
      <c r="Y29" s="50">
        <f>IF($A29=0,Inputs!$B$58,0)</f>
        <v>0</v>
      </c>
      <c r="Z29" s="50">
        <f t="shared" si="7"/>
        <v>750750</v>
      </c>
      <c r="AA29" s="50">
        <f>F29*Inputs!$B$32</f>
        <v>4284000</v>
      </c>
      <c r="AB29" s="50">
        <f t="shared" si="14"/>
        <v>0</v>
      </c>
      <c r="AC29" s="50">
        <f t="shared" si="8"/>
        <v>750750</v>
      </c>
      <c r="AD29" s="51">
        <f t="shared" si="15"/>
        <v>-12694500</v>
      </c>
      <c r="AE29" s="50">
        <f t="shared" si="16"/>
        <v>-8410500</v>
      </c>
      <c r="AF29" s="50">
        <f>AD29+SUM(Y$5:Y29)</f>
        <v>-8794500</v>
      </c>
      <c r="AG29" s="47">
        <f>IF(AND($A29&gt;=1,COUNTIF(T29:T$41,"&lt;0")=0),$A29,"")</f>
        <v>24</v>
      </c>
      <c r="AH29" s="47" t="str">
        <f t="shared" si="9"/>
        <v/>
      </c>
      <c r="AI29" s="47" t="str">
        <f t="shared" si="10"/>
        <v/>
      </c>
      <c r="AJ29" s="52">
        <f t="shared" si="11"/>
        <v>21.42</v>
      </c>
      <c r="AK29" s="52">
        <f t="shared" si="12"/>
        <v>13.9125</v>
      </c>
      <c r="AL29" s="52">
        <f t="shared" si="13"/>
        <v>-126.94499999999999</v>
      </c>
    </row>
    <row r="30" spans="1:38" x14ac:dyDescent="0.2">
      <c r="A30" s="46">
        <v>25</v>
      </c>
      <c r="B30" s="47">
        <f t="shared" si="0"/>
        <v>3</v>
      </c>
      <c r="C30" s="48">
        <f>IF($A30=0,0,IF(OR(Inputs!$B$38&lt;=1,$A30&gt;=Inputs!$B$38),Inputs!$B$37,Inputs!$B$36+(Inputs!$B$37-Inputs!$B$36)*($A30-1)/(Inputs!$B$38-1)))</f>
        <v>0.85</v>
      </c>
      <c r="D30" s="49">
        <f>ROUNDDOWN(INT(Inputs!$B$7)*C30+0.000000001,0)</f>
        <v>170</v>
      </c>
      <c r="E30" s="50">
        <f>IF($A30=0,0,Inputs!$B$28*(1+Inputs!$B$29)^($B30-1))</f>
        <v>13230</v>
      </c>
      <c r="F30" s="50">
        <f t="shared" si="1"/>
        <v>2249100</v>
      </c>
      <c r="G30" s="50">
        <f>IF($A30&lt;=MAX(Inputs!$B$12,0),0,Inputs!$B$6*Inputs!$B$10*(1+Inputs!$B$13)^($B30-1))</f>
        <v>716625</v>
      </c>
      <c r="H30" s="50">
        <f>IF($A30=0,0,Inputs!$B$6*Inputs!$B$11*(1+Inputs!$B$13)^($B30-1))</f>
        <v>132300</v>
      </c>
      <c r="I30" s="50">
        <f>IF($A30=0,0,Inputs!$B$41*(1+Inputs!$B$51)^($B30-1))</f>
        <v>154350</v>
      </c>
      <c r="J30" s="50">
        <f>IF($A30=0,0,Inputs!$B$42*(1+Inputs!$B$51)^($B30-1))</f>
        <v>66150</v>
      </c>
      <c r="K30" s="50">
        <f>IF($A30=0,0,Inputs!$B$43*(1+Inputs!$B$51)^($B30-1))</f>
        <v>38587.5</v>
      </c>
      <c r="L30" s="50">
        <f>IF($A30=0,0,Inputs!$B$44*(1+Inputs!$B$51)^($B30-1))</f>
        <v>22050</v>
      </c>
      <c r="M30" s="50">
        <f>IF($A30=0,0,Inputs!$B$45*(1+Inputs!$B$51)^($B30-1))</f>
        <v>16537.5</v>
      </c>
      <c r="N30" s="50">
        <f>IF($A30=0,0,Inputs!$B$46*(1+Inputs!$B$51)^($B30-1))</f>
        <v>11025</v>
      </c>
      <c r="O30" s="50">
        <f>IF($A30=0,0,Inputs!$B$47*(1+Inputs!$B$51)^($B30-1))</f>
        <v>13230</v>
      </c>
      <c r="P30" s="50">
        <f>IF($A30=0,0,Inputs!$B$48*(1+Inputs!$B$51)^($B30-1))</f>
        <v>8820</v>
      </c>
      <c r="Q30" s="50">
        <f>IF($A30=0,0,Inputs!$B$50*(1+Inputs!$B$51)^($B30-1))</f>
        <v>1653.75</v>
      </c>
      <c r="R30" s="50">
        <f t="shared" si="2"/>
        <v>281137.5</v>
      </c>
      <c r="S30" s="50">
        <f t="shared" si="3"/>
        <v>1460812.5</v>
      </c>
      <c r="T30" s="51">
        <f t="shared" si="4"/>
        <v>788287.5</v>
      </c>
      <c r="U30" s="48">
        <f t="shared" si="5"/>
        <v>0.35049019607843135</v>
      </c>
      <c r="V30" s="50">
        <f>F30*MAX(0,1-(MIN(MAX(Inputs!$B$33,0),60)/30))+F29*MAX(0,1-ABS((MIN(MAX(Inputs!$B$33,0),60)/30)-1))+F28*MAX(0,(MIN(MAX(Inputs!$B$33,0),60)/30)-1)</f>
        <v>2195550</v>
      </c>
      <c r="W30" s="50">
        <f t="shared" si="6"/>
        <v>1460812.5</v>
      </c>
      <c r="X30" s="50">
        <f>IF($A30=0,Inputs!$B$56+Inputs!$B$19,0)</f>
        <v>0</v>
      </c>
      <c r="Y30" s="50">
        <f>IF($A30=0,Inputs!$B$58,0)</f>
        <v>0</v>
      </c>
      <c r="Z30" s="50">
        <f t="shared" si="7"/>
        <v>734737.5</v>
      </c>
      <c r="AA30" s="50">
        <f>F30*Inputs!$B$32</f>
        <v>4498200</v>
      </c>
      <c r="AB30" s="50">
        <f t="shared" si="14"/>
        <v>214200</v>
      </c>
      <c r="AC30" s="50">
        <f t="shared" si="8"/>
        <v>948937.5</v>
      </c>
      <c r="AD30" s="51">
        <f t="shared" si="15"/>
        <v>-11959762.5</v>
      </c>
      <c r="AE30" s="50">
        <f t="shared" si="16"/>
        <v>-7461562.5</v>
      </c>
      <c r="AF30" s="50">
        <f>AD30+SUM(Y$5:Y30)</f>
        <v>-8059762.5</v>
      </c>
      <c r="AG30" s="47">
        <f>IF(AND($A30&gt;=1,COUNTIF(T30:T$41,"&lt;0")=0),$A30,"")</f>
        <v>25</v>
      </c>
      <c r="AH30" s="47" t="str">
        <f t="shared" si="9"/>
        <v/>
      </c>
      <c r="AI30" s="47" t="str">
        <f t="shared" si="10"/>
        <v/>
      </c>
      <c r="AJ30" s="52">
        <f t="shared" si="11"/>
        <v>22.491</v>
      </c>
      <c r="AK30" s="52">
        <f t="shared" si="12"/>
        <v>14.608124999999999</v>
      </c>
      <c r="AL30" s="52">
        <f t="shared" si="13"/>
        <v>-119.59762499999999</v>
      </c>
    </row>
    <row r="31" spans="1:38" x14ac:dyDescent="0.2">
      <c r="A31" s="46">
        <v>26</v>
      </c>
      <c r="B31" s="47">
        <f t="shared" si="0"/>
        <v>3</v>
      </c>
      <c r="C31" s="48">
        <f>IF($A31=0,0,IF(OR(Inputs!$B$38&lt;=1,$A31&gt;=Inputs!$B$38),Inputs!$B$37,Inputs!$B$36+(Inputs!$B$37-Inputs!$B$36)*($A31-1)/(Inputs!$B$38-1)))</f>
        <v>0.85</v>
      </c>
      <c r="D31" s="49">
        <f>ROUNDDOWN(INT(Inputs!$B$7)*C31+0.000000001,0)</f>
        <v>170</v>
      </c>
      <c r="E31" s="50">
        <f>IF($A31=0,0,Inputs!$B$28*(1+Inputs!$B$29)^($B31-1))</f>
        <v>13230</v>
      </c>
      <c r="F31" s="50">
        <f t="shared" si="1"/>
        <v>2249100</v>
      </c>
      <c r="G31" s="50">
        <f>IF($A31&lt;=MAX(Inputs!$B$12,0),0,Inputs!$B$6*Inputs!$B$10*(1+Inputs!$B$13)^($B31-1))</f>
        <v>716625</v>
      </c>
      <c r="H31" s="50">
        <f>IF($A31=0,0,Inputs!$B$6*Inputs!$B$11*(1+Inputs!$B$13)^($B31-1))</f>
        <v>132300</v>
      </c>
      <c r="I31" s="50">
        <f>IF($A31=0,0,Inputs!$B$41*(1+Inputs!$B$51)^($B31-1))</f>
        <v>154350</v>
      </c>
      <c r="J31" s="50">
        <f>IF($A31=0,0,Inputs!$B$42*(1+Inputs!$B$51)^($B31-1))</f>
        <v>66150</v>
      </c>
      <c r="K31" s="50">
        <f>IF($A31=0,0,Inputs!$B$43*(1+Inputs!$B$51)^($B31-1))</f>
        <v>38587.5</v>
      </c>
      <c r="L31" s="50">
        <f>IF($A31=0,0,Inputs!$B$44*(1+Inputs!$B$51)^($B31-1))</f>
        <v>22050</v>
      </c>
      <c r="M31" s="50">
        <f>IF($A31=0,0,Inputs!$B$45*(1+Inputs!$B$51)^($B31-1))</f>
        <v>16537.5</v>
      </c>
      <c r="N31" s="50">
        <f>IF($A31=0,0,Inputs!$B$46*(1+Inputs!$B$51)^($B31-1))</f>
        <v>11025</v>
      </c>
      <c r="O31" s="50">
        <f>IF($A31=0,0,Inputs!$B$47*(1+Inputs!$B$51)^($B31-1))</f>
        <v>13230</v>
      </c>
      <c r="P31" s="50">
        <f>IF($A31=0,0,Inputs!$B$48*(1+Inputs!$B$51)^($B31-1))</f>
        <v>8820</v>
      </c>
      <c r="Q31" s="50">
        <f>IF($A31=0,0,Inputs!$B$50*(1+Inputs!$B$51)^($B31-1))</f>
        <v>1653.75</v>
      </c>
      <c r="R31" s="50">
        <f t="shared" si="2"/>
        <v>281137.5</v>
      </c>
      <c r="S31" s="50">
        <f t="shared" si="3"/>
        <v>1460812.5</v>
      </c>
      <c r="T31" s="51">
        <f t="shared" si="4"/>
        <v>788287.5</v>
      </c>
      <c r="U31" s="48">
        <f t="shared" si="5"/>
        <v>0.35049019607843135</v>
      </c>
      <c r="V31" s="50">
        <f>F31*MAX(0,1-(MIN(MAX(Inputs!$B$33,0),60)/30))+F30*MAX(0,1-ABS((MIN(MAX(Inputs!$B$33,0),60)/30)-1))+F29*MAX(0,(MIN(MAX(Inputs!$B$33,0),60)/30)-1)</f>
        <v>2249100</v>
      </c>
      <c r="W31" s="50">
        <f t="shared" si="6"/>
        <v>1460812.5</v>
      </c>
      <c r="X31" s="50">
        <f>IF($A31=0,Inputs!$B$56+Inputs!$B$19,0)</f>
        <v>0</v>
      </c>
      <c r="Y31" s="50">
        <f>IF($A31=0,Inputs!$B$58,0)</f>
        <v>0</v>
      </c>
      <c r="Z31" s="50">
        <f t="shared" si="7"/>
        <v>788287.5</v>
      </c>
      <c r="AA31" s="50">
        <f>F31*Inputs!$B$32</f>
        <v>4498200</v>
      </c>
      <c r="AB31" s="50">
        <f t="shared" si="14"/>
        <v>0</v>
      </c>
      <c r="AC31" s="50">
        <f t="shared" si="8"/>
        <v>788287.5</v>
      </c>
      <c r="AD31" s="51">
        <f t="shared" si="15"/>
        <v>-11171475</v>
      </c>
      <c r="AE31" s="50">
        <f t="shared" si="16"/>
        <v>-6673275</v>
      </c>
      <c r="AF31" s="50">
        <f>AD31+SUM(Y$5:Y31)</f>
        <v>-7271475</v>
      </c>
      <c r="AG31" s="47">
        <f>IF(AND($A31&gt;=1,COUNTIF(T31:T$41,"&lt;0")=0),$A31,"")</f>
        <v>26</v>
      </c>
      <c r="AH31" s="47" t="str">
        <f t="shared" si="9"/>
        <v/>
      </c>
      <c r="AI31" s="47" t="str">
        <f t="shared" si="10"/>
        <v/>
      </c>
      <c r="AJ31" s="52">
        <f t="shared" si="11"/>
        <v>22.491</v>
      </c>
      <c r="AK31" s="52">
        <f t="shared" si="12"/>
        <v>14.608124999999999</v>
      </c>
      <c r="AL31" s="52">
        <f t="shared" si="13"/>
        <v>-111.71475</v>
      </c>
    </row>
    <row r="32" spans="1:38" x14ac:dyDescent="0.2">
      <c r="A32" s="46">
        <v>27</v>
      </c>
      <c r="B32" s="47">
        <f t="shared" si="0"/>
        <v>3</v>
      </c>
      <c r="C32" s="48">
        <f>IF($A32=0,0,IF(OR(Inputs!$B$38&lt;=1,$A32&gt;=Inputs!$B$38),Inputs!$B$37,Inputs!$B$36+(Inputs!$B$37-Inputs!$B$36)*($A32-1)/(Inputs!$B$38-1)))</f>
        <v>0.85</v>
      </c>
      <c r="D32" s="49">
        <f>ROUNDDOWN(INT(Inputs!$B$7)*C32+0.000000001,0)</f>
        <v>170</v>
      </c>
      <c r="E32" s="50">
        <f>IF($A32=0,0,Inputs!$B$28*(1+Inputs!$B$29)^($B32-1))</f>
        <v>13230</v>
      </c>
      <c r="F32" s="50">
        <f t="shared" si="1"/>
        <v>2249100</v>
      </c>
      <c r="G32" s="50">
        <f>IF($A32&lt;=MAX(Inputs!$B$12,0),0,Inputs!$B$6*Inputs!$B$10*(1+Inputs!$B$13)^($B32-1))</f>
        <v>716625</v>
      </c>
      <c r="H32" s="50">
        <f>IF($A32=0,0,Inputs!$B$6*Inputs!$B$11*(1+Inputs!$B$13)^($B32-1))</f>
        <v>132300</v>
      </c>
      <c r="I32" s="50">
        <f>IF($A32=0,0,Inputs!$B$41*(1+Inputs!$B$51)^($B32-1))</f>
        <v>154350</v>
      </c>
      <c r="J32" s="50">
        <f>IF($A32=0,0,Inputs!$B$42*(1+Inputs!$B$51)^($B32-1))</f>
        <v>66150</v>
      </c>
      <c r="K32" s="50">
        <f>IF($A32=0,0,Inputs!$B$43*(1+Inputs!$B$51)^($B32-1))</f>
        <v>38587.5</v>
      </c>
      <c r="L32" s="50">
        <f>IF($A32=0,0,Inputs!$B$44*(1+Inputs!$B$51)^($B32-1))</f>
        <v>22050</v>
      </c>
      <c r="M32" s="50">
        <f>IF($A32=0,0,Inputs!$B$45*(1+Inputs!$B$51)^($B32-1))</f>
        <v>16537.5</v>
      </c>
      <c r="N32" s="50">
        <f>IF($A32=0,0,Inputs!$B$46*(1+Inputs!$B$51)^($B32-1))</f>
        <v>11025</v>
      </c>
      <c r="O32" s="50">
        <f>IF($A32=0,0,Inputs!$B$47*(1+Inputs!$B$51)^($B32-1))</f>
        <v>13230</v>
      </c>
      <c r="P32" s="50">
        <f>IF($A32=0,0,Inputs!$B$48*(1+Inputs!$B$51)^($B32-1))</f>
        <v>8820</v>
      </c>
      <c r="Q32" s="50">
        <f>IF($A32=0,0,Inputs!$B$50*(1+Inputs!$B$51)^($B32-1))</f>
        <v>1653.75</v>
      </c>
      <c r="R32" s="50">
        <f t="shared" si="2"/>
        <v>281137.5</v>
      </c>
      <c r="S32" s="50">
        <f t="shared" si="3"/>
        <v>1460812.5</v>
      </c>
      <c r="T32" s="51">
        <f t="shared" si="4"/>
        <v>788287.5</v>
      </c>
      <c r="U32" s="48">
        <f t="shared" si="5"/>
        <v>0.35049019607843135</v>
      </c>
      <c r="V32" s="50">
        <f>F32*MAX(0,1-(MIN(MAX(Inputs!$B$33,0),60)/30))+F31*MAX(0,1-ABS((MIN(MAX(Inputs!$B$33,0),60)/30)-1))+F30*MAX(0,(MIN(MAX(Inputs!$B$33,0),60)/30)-1)</f>
        <v>2249100</v>
      </c>
      <c r="W32" s="50">
        <f t="shared" si="6"/>
        <v>1460812.5</v>
      </c>
      <c r="X32" s="50">
        <f>IF($A32=0,Inputs!$B$56+Inputs!$B$19,0)</f>
        <v>0</v>
      </c>
      <c r="Y32" s="50">
        <f>IF($A32=0,Inputs!$B$58,0)</f>
        <v>0</v>
      </c>
      <c r="Z32" s="50">
        <f t="shared" si="7"/>
        <v>788287.5</v>
      </c>
      <c r="AA32" s="50">
        <f>F32*Inputs!$B$32</f>
        <v>4498200</v>
      </c>
      <c r="AB32" s="50">
        <f t="shared" si="14"/>
        <v>0</v>
      </c>
      <c r="AC32" s="50">
        <f t="shared" si="8"/>
        <v>788287.5</v>
      </c>
      <c r="AD32" s="51">
        <f t="shared" si="15"/>
        <v>-10383187.5</v>
      </c>
      <c r="AE32" s="50">
        <f t="shared" si="16"/>
        <v>-5884987.5</v>
      </c>
      <c r="AF32" s="50">
        <f>AD32+SUM(Y$5:Y32)</f>
        <v>-6483187.5</v>
      </c>
      <c r="AG32" s="47">
        <f>IF(AND($A32&gt;=1,COUNTIF(T32:T$41,"&lt;0")=0),$A32,"")</f>
        <v>27</v>
      </c>
      <c r="AH32" s="47" t="str">
        <f t="shared" si="9"/>
        <v/>
      </c>
      <c r="AI32" s="47" t="str">
        <f t="shared" si="10"/>
        <v/>
      </c>
      <c r="AJ32" s="52">
        <f t="shared" si="11"/>
        <v>22.491</v>
      </c>
      <c r="AK32" s="52">
        <f t="shared" si="12"/>
        <v>14.608124999999999</v>
      </c>
      <c r="AL32" s="52">
        <f t="shared" si="13"/>
        <v>-103.831875</v>
      </c>
    </row>
    <row r="33" spans="1:38" x14ac:dyDescent="0.2">
      <c r="A33" s="46">
        <v>28</v>
      </c>
      <c r="B33" s="47">
        <f t="shared" si="0"/>
        <v>3</v>
      </c>
      <c r="C33" s="48">
        <f>IF($A33=0,0,IF(OR(Inputs!$B$38&lt;=1,$A33&gt;=Inputs!$B$38),Inputs!$B$37,Inputs!$B$36+(Inputs!$B$37-Inputs!$B$36)*($A33-1)/(Inputs!$B$38-1)))</f>
        <v>0.85</v>
      </c>
      <c r="D33" s="49">
        <f>ROUNDDOWN(INT(Inputs!$B$7)*C33+0.000000001,0)</f>
        <v>170</v>
      </c>
      <c r="E33" s="50">
        <f>IF($A33=0,0,Inputs!$B$28*(1+Inputs!$B$29)^($B33-1))</f>
        <v>13230</v>
      </c>
      <c r="F33" s="50">
        <f t="shared" si="1"/>
        <v>2249100</v>
      </c>
      <c r="G33" s="50">
        <f>IF($A33&lt;=MAX(Inputs!$B$12,0),0,Inputs!$B$6*Inputs!$B$10*(1+Inputs!$B$13)^($B33-1))</f>
        <v>716625</v>
      </c>
      <c r="H33" s="50">
        <f>IF($A33=0,0,Inputs!$B$6*Inputs!$B$11*(1+Inputs!$B$13)^($B33-1))</f>
        <v>132300</v>
      </c>
      <c r="I33" s="50">
        <f>IF($A33=0,0,Inputs!$B$41*(1+Inputs!$B$51)^($B33-1))</f>
        <v>154350</v>
      </c>
      <c r="J33" s="50">
        <f>IF($A33=0,0,Inputs!$B$42*(1+Inputs!$B$51)^($B33-1))</f>
        <v>66150</v>
      </c>
      <c r="K33" s="50">
        <f>IF($A33=0,0,Inputs!$B$43*(1+Inputs!$B$51)^($B33-1))</f>
        <v>38587.5</v>
      </c>
      <c r="L33" s="50">
        <f>IF($A33=0,0,Inputs!$B$44*(1+Inputs!$B$51)^($B33-1))</f>
        <v>22050</v>
      </c>
      <c r="M33" s="50">
        <f>IF($A33=0,0,Inputs!$B$45*(1+Inputs!$B$51)^($B33-1))</f>
        <v>16537.5</v>
      </c>
      <c r="N33" s="50">
        <f>IF($A33=0,0,Inputs!$B$46*(1+Inputs!$B$51)^($B33-1))</f>
        <v>11025</v>
      </c>
      <c r="O33" s="50">
        <f>IF($A33=0,0,Inputs!$B$47*(1+Inputs!$B$51)^($B33-1))</f>
        <v>13230</v>
      </c>
      <c r="P33" s="50">
        <f>IF($A33=0,0,Inputs!$B$48*(1+Inputs!$B$51)^($B33-1))</f>
        <v>8820</v>
      </c>
      <c r="Q33" s="50">
        <f>IF($A33=0,0,Inputs!$B$50*(1+Inputs!$B$51)^($B33-1))</f>
        <v>1653.75</v>
      </c>
      <c r="R33" s="50">
        <f t="shared" si="2"/>
        <v>281137.5</v>
      </c>
      <c r="S33" s="50">
        <f t="shared" si="3"/>
        <v>1460812.5</v>
      </c>
      <c r="T33" s="51">
        <f t="shared" si="4"/>
        <v>788287.5</v>
      </c>
      <c r="U33" s="48">
        <f t="shared" si="5"/>
        <v>0.35049019607843135</v>
      </c>
      <c r="V33" s="50">
        <f>F33*MAX(0,1-(MIN(MAX(Inputs!$B$33,0),60)/30))+F32*MAX(0,1-ABS((MIN(MAX(Inputs!$B$33,0),60)/30)-1))+F31*MAX(0,(MIN(MAX(Inputs!$B$33,0),60)/30)-1)</f>
        <v>2249100</v>
      </c>
      <c r="W33" s="50">
        <f t="shared" si="6"/>
        <v>1460812.5</v>
      </c>
      <c r="X33" s="50">
        <f>IF($A33=0,Inputs!$B$56+Inputs!$B$19,0)</f>
        <v>0</v>
      </c>
      <c r="Y33" s="50">
        <f>IF($A33=0,Inputs!$B$58,0)</f>
        <v>0</v>
      </c>
      <c r="Z33" s="50">
        <f t="shared" si="7"/>
        <v>788287.5</v>
      </c>
      <c r="AA33" s="50">
        <f>F33*Inputs!$B$32</f>
        <v>4498200</v>
      </c>
      <c r="AB33" s="50">
        <f t="shared" si="14"/>
        <v>0</v>
      </c>
      <c r="AC33" s="50">
        <f t="shared" si="8"/>
        <v>788287.5</v>
      </c>
      <c r="AD33" s="51">
        <f t="shared" si="15"/>
        <v>-9594900</v>
      </c>
      <c r="AE33" s="50">
        <f t="shared" si="16"/>
        <v>-5096700</v>
      </c>
      <c r="AF33" s="50">
        <f>AD33+SUM(Y$5:Y33)</f>
        <v>-5694900</v>
      </c>
      <c r="AG33" s="47">
        <f>IF(AND($A33&gt;=1,COUNTIF(T33:T$41,"&lt;0")=0),$A33,"")</f>
        <v>28</v>
      </c>
      <c r="AH33" s="47" t="str">
        <f t="shared" si="9"/>
        <v/>
      </c>
      <c r="AI33" s="47" t="str">
        <f t="shared" si="10"/>
        <v/>
      </c>
      <c r="AJ33" s="52">
        <f t="shared" si="11"/>
        <v>22.491</v>
      </c>
      <c r="AK33" s="52">
        <f t="shared" si="12"/>
        <v>14.608124999999999</v>
      </c>
      <c r="AL33" s="52">
        <f t="shared" si="13"/>
        <v>-95.948999999999998</v>
      </c>
    </row>
    <row r="34" spans="1:38" x14ac:dyDescent="0.2">
      <c r="A34" s="46">
        <v>29</v>
      </c>
      <c r="B34" s="47">
        <f t="shared" si="0"/>
        <v>3</v>
      </c>
      <c r="C34" s="48">
        <f>IF($A34=0,0,IF(OR(Inputs!$B$38&lt;=1,$A34&gt;=Inputs!$B$38),Inputs!$B$37,Inputs!$B$36+(Inputs!$B$37-Inputs!$B$36)*($A34-1)/(Inputs!$B$38-1)))</f>
        <v>0.85</v>
      </c>
      <c r="D34" s="49">
        <f>ROUNDDOWN(INT(Inputs!$B$7)*C34+0.000000001,0)</f>
        <v>170</v>
      </c>
      <c r="E34" s="50">
        <f>IF($A34=0,0,Inputs!$B$28*(1+Inputs!$B$29)^($B34-1))</f>
        <v>13230</v>
      </c>
      <c r="F34" s="50">
        <f t="shared" si="1"/>
        <v>2249100</v>
      </c>
      <c r="G34" s="50">
        <f>IF($A34&lt;=MAX(Inputs!$B$12,0),0,Inputs!$B$6*Inputs!$B$10*(1+Inputs!$B$13)^($B34-1))</f>
        <v>716625</v>
      </c>
      <c r="H34" s="50">
        <f>IF($A34=0,0,Inputs!$B$6*Inputs!$B$11*(1+Inputs!$B$13)^($B34-1))</f>
        <v>132300</v>
      </c>
      <c r="I34" s="50">
        <f>IF($A34=0,0,Inputs!$B$41*(1+Inputs!$B$51)^($B34-1))</f>
        <v>154350</v>
      </c>
      <c r="J34" s="50">
        <f>IF($A34=0,0,Inputs!$B$42*(1+Inputs!$B$51)^($B34-1))</f>
        <v>66150</v>
      </c>
      <c r="K34" s="50">
        <f>IF($A34=0,0,Inputs!$B$43*(1+Inputs!$B$51)^($B34-1))</f>
        <v>38587.5</v>
      </c>
      <c r="L34" s="50">
        <f>IF($A34=0,0,Inputs!$B$44*(1+Inputs!$B$51)^($B34-1))</f>
        <v>22050</v>
      </c>
      <c r="M34" s="50">
        <f>IF($A34=0,0,Inputs!$B$45*(1+Inputs!$B$51)^($B34-1))</f>
        <v>16537.5</v>
      </c>
      <c r="N34" s="50">
        <f>IF($A34=0,0,Inputs!$B$46*(1+Inputs!$B$51)^($B34-1))</f>
        <v>11025</v>
      </c>
      <c r="O34" s="50">
        <f>IF($A34=0,0,Inputs!$B$47*(1+Inputs!$B$51)^($B34-1))</f>
        <v>13230</v>
      </c>
      <c r="P34" s="50">
        <f>IF($A34=0,0,Inputs!$B$48*(1+Inputs!$B$51)^($B34-1))</f>
        <v>8820</v>
      </c>
      <c r="Q34" s="50">
        <f>IF($A34=0,0,Inputs!$B$50*(1+Inputs!$B$51)^($B34-1))</f>
        <v>1653.75</v>
      </c>
      <c r="R34" s="50">
        <f t="shared" si="2"/>
        <v>281137.5</v>
      </c>
      <c r="S34" s="50">
        <f t="shared" si="3"/>
        <v>1460812.5</v>
      </c>
      <c r="T34" s="51">
        <f t="shared" si="4"/>
        <v>788287.5</v>
      </c>
      <c r="U34" s="48">
        <f t="shared" si="5"/>
        <v>0.35049019607843135</v>
      </c>
      <c r="V34" s="50">
        <f>F34*MAX(0,1-(MIN(MAX(Inputs!$B$33,0),60)/30))+F33*MAX(0,1-ABS((MIN(MAX(Inputs!$B$33,0),60)/30)-1))+F32*MAX(0,(MIN(MAX(Inputs!$B$33,0),60)/30)-1)</f>
        <v>2249100</v>
      </c>
      <c r="W34" s="50">
        <f t="shared" si="6"/>
        <v>1460812.5</v>
      </c>
      <c r="X34" s="50">
        <f>IF($A34=0,Inputs!$B$56+Inputs!$B$19,0)</f>
        <v>0</v>
      </c>
      <c r="Y34" s="50">
        <f>IF($A34=0,Inputs!$B$58,0)</f>
        <v>0</v>
      </c>
      <c r="Z34" s="50">
        <f t="shared" si="7"/>
        <v>788287.5</v>
      </c>
      <c r="AA34" s="50">
        <f>F34*Inputs!$B$32</f>
        <v>4498200</v>
      </c>
      <c r="AB34" s="50">
        <f t="shared" si="14"/>
        <v>0</v>
      </c>
      <c r="AC34" s="50">
        <f t="shared" si="8"/>
        <v>788287.5</v>
      </c>
      <c r="AD34" s="51">
        <f t="shared" si="15"/>
        <v>-8806612.5</v>
      </c>
      <c r="AE34" s="50">
        <f t="shared" si="16"/>
        <v>-4308412.5</v>
      </c>
      <c r="AF34" s="50">
        <f>AD34+SUM(Y$5:Y34)</f>
        <v>-4906612.5</v>
      </c>
      <c r="AG34" s="47">
        <f>IF(AND($A34&gt;=1,COUNTIF(T34:T$41,"&lt;0")=0),$A34,"")</f>
        <v>29</v>
      </c>
      <c r="AH34" s="47" t="str">
        <f t="shared" si="9"/>
        <v/>
      </c>
      <c r="AI34" s="47" t="str">
        <f t="shared" si="10"/>
        <v/>
      </c>
      <c r="AJ34" s="52">
        <f t="shared" si="11"/>
        <v>22.491</v>
      </c>
      <c r="AK34" s="52">
        <f t="shared" si="12"/>
        <v>14.608124999999999</v>
      </c>
      <c r="AL34" s="52">
        <f t="shared" si="13"/>
        <v>-88.066125</v>
      </c>
    </row>
    <row r="35" spans="1:38" x14ac:dyDescent="0.2">
      <c r="A35" s="46">
        <v>30</v>
      </c>
      <c r="B35" s="47">
        <f t="shared" si="0"/>
        <v>3</v>
      </c>
      <c r="C35" s="48">
        <f>IF($A35=0,0,IF(OR(Inputs!$B$38&lt;=1,$A35&gt;=Inputs!$B$38),Inputs!$B$37,Inputs!$B$36+(Inputs!$B$37-Inputs!$B$36)*($A35-1)/(Inputs!$B$38-1)))</f>
        <v>0.85</v>
      </c>
      <c r="D35" s="49">
        <f>ROUNDDOWN(INT(Inputs!$B$7)*C35+0.000000001,0)</f>
        <v>170</v>
      </c>
      <c r="E35" s="50">
        <f>IF($A35=0,0,Inputs!$B$28*(1+Inputs!$B$29)^($B35-1))</f>
        <v>13230</v>
      </c>
      <c r="F35" s="50">
        <f t="shared" si="1"/>
        <v>2249100</v>
      </c>
      <c r="G35" s="50">
        <f>IF($A35&lt;=MAX(Inputs!$B$12,0),0,Inputs!$B$6*Inputs!$B$10*(1+Inputs!$B$13)^($B35-1))</f>
        <v>716625</v>
      </c>
      <c r="H35" s="50">
        <f>IF($A35=0,0,Inputs!$B$6*Inputs!$B$11*(1+Inputs!$B$13)^($B35-1))</f>
        <v>132300</v>
      </c>
      <c r="I35" s="50">
        <f>IF($A35=0,0,Inputs!$B$41*(1+Inputs!$B$51)^($B35-1))</f>
        <v>154350</v>
      </c>
      <c r="J35" s="50">
        <f>IF($A35=0,0,Inputs!$B$42*(1+Inputs!$B$51)^($B35-1))</f>
        <v>66150</v>
      </c>
      <c r="K35" s="50">
        <f>IF($A35=0,0,Inputs!$B$43*(1+Inputs!$B$51)^($B35-1))</f>
        <v>38587.5</v>
      </c>
      <c r="L35" s="50">
        <f>IF($A35=0,0,Inputs!$B$44*(1+Inputs!$B$51)^($B35-1))</f>
        <v>22050</v>
      </c>
      <c r="M35" s="50">
        <f>IF($A35=0,0,Inputs!$B$45*(1+Inputs!$B$51)^($B35-1))</f>
        <v>16537.5</v>
      </c>
      <c r="N35" s="50">
        <f>IF($A35=0,0,Inputs!$B$46*(1+Inputs!$B$51)^($B35-1))</f>
        <v>11025</v>
      </c>
      <c r="O35" s="50">
        <f>IF($A35=0,0,Inputs!$B$47*(1+Inputs!$B$51)^($B35-1))</f>
        <v>13230</v>
      </c>
      <c r="P35" s="50">
        <f>IF($A35=0,0,Inputs!$B$48*(1+Inputs!$B$51)^($B35-1))</f>
        <v>8820</v>
      </c>
      <c r="Q35" s="50">
        <f>IF($A35=0,0,Inputs!$B$50*(1+Inputs!$B$51)^($B35-1))</f>
        <v>1653.75</v>
      </c>
      <c r="R35" s="50">
        <f t="shared" si="2"/>
        <v>281137.5</v>
      </c>
      <c r="S35" s="50">
        <f t="shared" si="3"/>
        <v>1460812.5</v>
      </c>
      <c r="T35" s="51">
        <f t="shared" si="4"/>
        <v>788287.5</v>
      </c>
      <c r="U35" s="48">
        <f t="shared" si="5"/>
        <v>0.35049019607843135</v>
      </c>
      <c r="V35" s="50">
        <f>F35*MAX(0,1-(MIN(MAX(Inputs!$B$33,0),60)/30))+F34*MAX(0,1-ABS((MIN(MAX(Inputs!$B$33,0),60)/30)-1))+F33*MAX(0,(MIN(MAX(Inputs!$B$33,0),60)/30)-1)</f>
        <v>2249100</v>
      </c>
      <c r="W35" s="50">
        <f t="shared" si="6"/>
        <v>1460812.5</v>
      </c>
      <c r="X35" s="50">
        <f>IF($A35=0,Inputs!$B$56+Inputs!$B$19,0)</f>
        <v>0</v>
      </c>
      <c r="Y35" s="50">
        <f>IF($A35=0,Inputs!$B$58,0)</f>
        <v>0</v>
      </c>
      <c r="Z35" s="50">
        <f t="shared" si="7"/>
        <v>788287.5</v>
      </c>
      <c r="AA35" s="50">
        <f>F35*Inputs!$B$32</f>
        <v>4498200</v>
      </c>
      <c r="AB35" s="50">
        <f t="shared" si="14"/>
        <v>0</v>
      </c>
      <c r="AC35" s="50">
        <f t="shared" si="8"/>
        <v>788287.5</v>
      </c>
      <c r="AD35" s="51">
        <f t="shared" si="15"/>
        <v>-8018325</v>
      </c>
      <c r="AE35" s="50">
        <f t="shared" si="16"/>
        <v>-3520125</v>
      </c>
      <c r="AF35" s="50">
        <f>AD35+SUM(Y$5:Y35)</f>
        <v>-4118325</v>
      </c>
      <c r="AG35" s="47">
        <f>IF(AND($A35&gt;=1,COUNTIF(T35:T$41,"&lt;0")=0),$A35,"")</f>
        <v>30</v>
      </c>
      <c r="AH35" s="47" t="str">
        <f t="shared" si="9"/>
        <v/>
      </c>
      <c r="AI35" s="47" t="str">
        <f t="shared" si="10"/>
        <v/>
      </c>
      <c r="AJ35" s="52">
        <f t="shared" si="11"/>
        <v>22.491</v>
      </c>
      <c r="AK35" s="52">
        <f t="shared" si="12"/>
        <v>14.608124999999999</v>
      </c>
      <c r="AL35" s="52">
        <f t="shared" si="13"/>
        <v>-80.183250000000001</v>
      </c>
    </row>
    <row r="36" spans="1:38" x14ac:dyDescent="0.2">
      <c r="A36" s="46">
        <v>31</v>
      </c>
      <c r="B36" s="47">
        <f t="shared" si="0"/>
        <v>3</v>
      </c>
      <c r="C36" s="48">
        <f>IF($A36=0,0,IF(OR(Inputs!$B$38&lt;=1,$A36&gt;=Inputs!$B$38),Inputs!$B$37,Inputs!$B$36+(Inputs!$B$37-Inputs!$B$36)*($A36-1)/(Inputs!$B$38-1)))</f>
        <v>0.85</v>
      </c>
      <c r="D36" s="49">
        <f>ROUNDDOWN(INT(Inputs!$B$7)*C36+0.000000001,0)</f>
        <v>170</v>
      </c>
      <c r="E36" s="50">
        <f>IF($A36=0,0,Inputs!$B$28*(1+Inputs!$B$29)^($B36-1))</f>
        <v>13230</v>
      </c>
      <c r="F36" s="50">
        <f t="shared" si="1"/>
        <v>2249100</v>
      </c>
      <c r="G36" s="50">
        <f>IF($A36&lt;=MAX(Inputs!$B$12,0),0,Inputs!$B$6*Inputs!$B$10*(1+Inputs!$B$13)^($B36-1))</f>
        <v>716625</v>
      </c>
      <c r="H36" s="50">
        <f>IF($A36=0,0,Inputs!$B$6*Inputs!$B$11*(1+Inputs!$B$13)^($B36-1))</f>
        <v>132300</v>
      </c>
      <c r="I36" s="50">
        <f>IF($A36=0,0,Inputs!$B$41*(1+Inputs!$B$51)^($B36-1))</f>
        <v>154350</v>
      </c>
      <c r="J36" s="50">
        <f>IF($A36=0,0,Inputs!$B$42*(1+Inputs!$B$51)^($B36-1))</f>
        <v>66150</v>
      </c>
      <c r="K36" s="50">
        <f>IF($A36=0,0,Inputs!$B$43*(1+Inputs!$B$51)^($B36-1))</f>
        <v>38587.5</v>
      </c>
      <c r="L36" s="50">
        <f>IF($A36=0,0,Inputs!$B$44*(1+Inputs!$B$51)^($B36-1))</f>
        <v>22050</v>
      </c>
      <c r="M36" s="50">
        <f>IF($A36=0,0,Inputs!$B$45*(1+Inputs!$B$51)^($B36-1))</f>
        <v>16537.5</v>
      </c>
      <c r="N36" s="50">
        <f>IF($A36=0,0,Inputs!$B$46*(1+Inputs!$B$51)^($B36-1))</f>
        <v>11025</v>
      </c>
      <c r="O36" s="50">
        <f>IF($A36=0,0,Inputs!$B$47*(1+Inputs!$B$51)^($B36-1))</f>
        <v>13230</v>
      </c>
      <c r="P36" s="50">
        <f>IF($A36=0,0,Inputs!$B$48*(1+Inputs!$B$51)^($B36-1))</f>
        <v>8820</v>
      </c>
      <c r="Q36" s="50">
        <f>IF($A36=0,0,Inputs!$B$50*(1+Inputs!$B$51)^($B36-1))</f>
        <v>1653.75</v>
      </c>
      <c r="R36" s="50">
        <f t="shared" si="2"/>
        <v>281137.5</v>
      </c>
      <c r="S36" s="50">
        <f t="shared" si="3"/>
        <v>1460812.5</v>
      </c>
      <c r="T36" s="51">
        <f t="shared" si="4"/>
        <v>788287.5</v>
      </c>
      <c r="U36" s="48">
        <f t="shared" si="5"/>
        <v>0.35049019607843135</v>
      </c>
      <c r="V36" s="50">
        <f>F36*MAX(0,1-(MIN(MAX(Inputs!$B$33,0),60)/30))+F35*MAX(0,1-ABS((MIN(MAX(Inputs!$B$33,0),60)/30)-1))+F34*MAX(0,(MIN(MAX(Inputs!$B$33,0),60)/30)-1)</f>
        <v>2249100</v>
      </c>
      <c r="W36" s="50">
        <f t="shared" si="6"/>
        <v>1460812.5</v>
      </c>
      <c r="X36" s="50">
        <f>IF($A36=0,Inputs!$B$56+Inputs!$B$19,0)</f>
        <v>0</v>
      </c>
      <c r="Y36" s="50">
        <f>IF($A36=0,Inputs!$B$58,0)</f>
        <v>0</v>
      </c>
      <c r="Z36" s="50">
        <f t="shared" si="7"/>
        <v>788287.5</v>
      </c>
      <c r="AA36" s="50">
        <f>F36*Inputs!$B$32</f>
        <v>4498200</v>
      </c>
      <c r="AB36" s="50">
        <f t="shared" si="14"/>
        <v>0</v>
      </c>
      <c r="AC36" s="50">
        <f t="shared" si="8"/>
        <v>788287.5</v>
      </c>
      <c r="AD36" s="51">
        <f t="shared" si="15"/>
        <v>-7230037.5</v>
      </c>
      <c r="AE36" s="50">
        <f t="shared" si="16"/>
        <v>-2731837.5</v>
      </c>
      <c r="AF36" s="50">
        <f>AD36+SUM(Y$5:Y36)</f>
        <v>-3330037.5</v>
      </c>
      <c r="AG36" s="47">
        <f>IF(AND($A36&gt;=1,COUNTIF(T36:T$41,"&lt;0")=0),$A36,"")</f>
        <v>31</v>
      </c>
      <c r="AH36" s="47" t="str">
        <f t="shared" si="9"/>
        <v/>
      </c>
      <c r="AI36" s="47" t="str">
        <f t="shared" si="10"/>
        <v/>
      </c>
      <c r="AJ36" s="52">
        <f t="shared" si="11"/>
        <v>22.491</v>
      </c>
      <c r="AK36" s="52">
        <f t="shared" si="12"/>
        <v>14.608124999999999</v>
      </c>
      <c r="AL36" s="52">
        <f t="shared" si="13"/>
        <v>-72.300375000000003</v>
      </c>
    </row>
    <row r="37" spans="1:38" x14ac:dyDescent="0.2">
      <c r="A37" s="46">
        <v>32</v>
      </c>
      <c r="B37" s="47">
        <f t="shared" si="0"/>
        <v>3</v>
      </c>
      <c r="C37" s="48">
        <f>IF($A37=0,0,IF(OR(Inputs!$B$38&lt;=1,$A37&gt;=Inputs!$B$38),Inputs!$B$37,Inputs!$B$36+(Inputs!$B$37-Inputs!$B$36)*($A37-1)/(Inputs!$B$38-1)))</f>
        <v>0.85</v>
      </c>
      <c r="D37" s="49">
        <f>ROUNDDOWN(INT(Inputs!$B$7)*C37+0.000000001,0)</f>
        <v>170</v>
      </c>
      <c r="E37" s="50">
        <f>IF($A37=0,0,Inputs!$B$28*(1+Inputs!$B$29)^($B37-1))</f>
        <v>13230</v>
      </c>
      <c r="F37" s="50">
        <f t="shared" si="1"/>
        <v>2249100</v>
      </c>
      <c r="G37" s="50">
        <f>IF($A37&lt;=MAX(Inputs!$B$12,0),0,Inputs!$B$6*Inputs!$B$10*(1+Inputs!$B$13)^($B37-1))</f>
        <v>716625</v>
      </c>
      <c r="H37" s="50">
        <f>IF($A37=0,0,Inputs!$B$6*Inputs!$B$11*(1+Inputs!$B$13)^($B37-1))</f>
        <v>132300</v>
      </c>
      <c r="I37" s="50">
        <f>IF($A37=0,0,Inputs!$B$41*(1+Inputs!$B$51)^($B37-1))</f>
        <v>154350</v>
      </c>
      <c r="J37" s="50">
        <f>IF($A37=0,0,Inputs!$B$42*(1+Inputs!$B$51)^($B37-1))</f>
        <v>66150</v>
      </c>
      <c r="K37" s="50">
        <f>IF($A37=0,0,Inputs!$B$43*(1+Inputs!$B$51)^($B37-1))</f>
        <v>38587.5</v>
      </c>
      <c r="L37" s="50">
        <f>IF($A37=0,0,Inputs!$B$44*(1+Inputs!$B$51)^($B37-1))</f>
        <v>22050</v>
      </c>
      <c r="M37" s="50">
        <f>IF($A37=0,0,Inputs!$B$45*(1+Inputs!$B$51)^($B37-1))</f>
        <v>16537.5</v>
      </c>
      <c r="N37" s="50">
        <f>IF($A37=0,0,Inputs!$B$46*(1+Inputs!$B$51)^($B37-1))</f>
        <v>11025</v>
      </c>
      <c r="O37" s="50">
        <f>IF($A37=0,0,Inputs!$B$47*(1+Inputs!$B$51)^($B37-1))</f>
        <v>13230</v>
      </c>
      <c r="P37" s="50">
        <f>IF($A37=0,0,Inputs!$B$48*(1+Inputs!$B$51)^($B37-1))</f>
        <v>8820</v>
      </c>
      <c r="Q37" s="50">
        <f>IF($A37=0,0,Inputs!$B$50*(1+Inputs!$B$51)^($B37-1))</f>
        <v>1653.75</v>
      </c>
      <c r="R37" s="50">
        <f t="shared" si="2"/>
        <v>281137.5</v>
      </c>
      <c r="S37" s="50">
        <f t="shared" si="3"/>
        <v>1460812.5</v>
      </c>
      <c r="T37" s="51">
        <f t="shared" si="4"/>
        <v>788287.5</v>
      </c>
      <c r="U37" s="48">
        <f t="shared" si="5"/>
        <v>0.35049019607843135</v>
      </c>
      <c r="V37" s="50">
        <f>F37*MAX(0,1-(MIN(MAX(Inputs!$B$33,0),60)/30))+F36*MAX(0,1-ABS((MIN(MAX(Inputs!$B$33,0),60)/30)-1))+F35*MAX(0,(MIN(MAX(Inputs!$B$33,0),60)/30)-1)</f>
        <v>2249100</v>
      </c>
      <c r="W37" s="50">
        <f t="shared" si="6"/>
        <v>1460812.5</v>
      </c>
      <c r="X37" s="50">
        <f>IF($A37=0,Inputs!$B$56+Inputs!$B$19,0)</f>
        <v>0</v>
      </c>
      <c r="Y37" s="50">
        <f>IF($A37=0,Inputs!$B$58,0)</f>
        <v>0</v>
      </c>
      <c r="Z37" s="50">
        <f t="shared" si="7"/>
        <v>788287.5</v>
      </c>
      <c r="AA37" s="50">
        <f>F37*Inputs!$B$32</f>
        <v>4498200</v>
      </c>
      <c r="AB37" s="50">
        <f t="shared" si="14"/>
        <v>0</v>
      </c>
      <c r="AC37" s="50">
        <f t="shared" si="8"/>
        <v>788287.5</v>
      </c>
      <c r="AD37" s="51">
        <f t="shared" si="15"/>
        <v>-6441750</v>
      </c>
      <c r="AE37" s="50">
        <f t="shared" si="16"/>
        <v>-1943550</v>
      </c>
      <c r="AF37" s="50">
        <f>AD37+SUM(Y$5:Y37)</f>
        <v>-2541750</v>
      </c>
      <c r="AG37" s="47">
        <f>IF(AND($A37&gt;=1,COUNTIF(T37:T$41,"&lt;0")=0),$A37,"")</f>
        <v>32</v>
      </c>
      <c r="AH37" s="47" t="str">
        <f t="shared" si="9"/>
        <v/>
      </c>
      <c r="AI37" s="47" t="str">
        <f t="shared" si="10"/>
        <v/>
      </c>
      <c r="AJ37" s="52">
        <f t="shared" si="11"/>
        <v>22.491</v>
      </c>
      <c r="AK37" s="52">
        <f t="shared" si="12"/>
        <v>14.608124999999999</v>
      </c>
      <c r="AL37" s="52">
        <f t="shared" si="13"/>
        <v>-64.417500000000004</v>
      </c>
    </row>
    <row r="38" spans="1:38" x14ac:dyDescent="0.2">
      <c r="A38" s="46">
        <v>33</v>
      </c>
      <c r="B38" s="47">
        <f t="shared" si="0"/>
        <v>3</v>
      </c>
      <c r="C38" s="48">
        <f>IF($A38=0,0,IF(OR(Inputs!$B$38&lt;=1,$A38&gt;=Inputs!$B$38),Inputs!$B$37,Inputs!$B$36+(Inputs!$B$37-Inputs!$B$36)*($A38-1)/(Inputs!$B$38-1)))</f>
        <v>0.85</v>
      </c>
      <c r="D38" s="49">
        <f>ROUNDDOWN(INT(Inputs!$B$7)*C38+0.000000001,0)</f>
        <v>170</v>
      </c>
      <c r="E38" s="50">
        <f>IF($A38=0,0,Inputs!$B$28*(1+Inputs!$B$29)^($B38-1))</f>
        <v>13230</v>
      </c>
      <c r="F38" s="50">
        <f t="shared" si="1"/>
        <v>2249100</v>
      </c>
      <c r="G38" s="50">
        <f>IF($A38&lt;=MAX(Inputs!$B$12,0),0,Inputs!$B$6*Inputs!$B$10*(1+Inputs!$B$13)^($B38-1))</f>
        <v>716625</v>
      </c>
      <c r="H38" s="50">
        <f>IF($A38=0,0,Inputs!$B$6*Inputs!$B$11*(1+Inputs!$B$13)^($B38-1))</f>
        <v>132300</v>
      </c>
      <c r="I38" s="50">
        <f>IF($A38=0,0,Inputs!$B$41*(1+Inputs!$B$51)^($B38-1))</f>
        <v>154350</v>
      </c>
      <c r="J38" s="50">
        <f>IF($A38=0,0,Inputs!$B$42*(1+Inputs!$B$51)^($B38-1))</f>
        <v>66150</v>
      </c>
      <c r="K38" s="50">
        <f>IF($A38=0,0,Inputs!$B$43*(1+Inputs!$B$51)^($B38-1))</f>
        <v>38587.5</v>
      </c>
      <c r="L38" s="50">
        <f>IF($A38=0,0,Inputs!$B$44*(1+Inputs!$B$51)^($B38-1))</f>
        <v>22050</v>
      </c>
      <c r="M38" s="50">
        <f>IF($A38=0,0,Inputs!$B$45*(1+Inputs!$B$51)^($B38-1))</f>
        <v>16537.5</v>
      </c>
      <c r="N38" s="50">
        <f>IF($A38=0,0,Inputs!$B$46*(1+Inputs!$B$51)^($B38-1))</f>
        <v>11025</v>
      </c>
      <c r="O38" s="50">
        <f>IF($A38=0,0,Inputs!$B$47*(1+Inputs!$B$51)^($B38-1))</f>
        <v>13230</v>
      </c>
      <c r="P38" s="50">
        <f>IF($A38=0,0,Inputs!$B$48*(1+Inputs!$B$51)^($B38-1))</f>
        <v>8820</v>
      </c>
      <c r="Q38" s="50">
        <f>IF($A38=0,0,Inputs!$B$50*(1+Inputs!$B$51)^($B38-1))</f>
        <v>1653.75</v>
      </c>
      <c r="R38" s="50">
        <f t="shared" si="2"/>
        <v>281137.5</v>
      </c>
      <c r="S38" s="50">
        <f t="shared" si="3"/>
        <v>1460812.5</v>
      </c>
      <c r="T38" s="51">
        <f t="shared" si="4"/>
        <v>788287.5</v>
      </c>
      <c r="U38" s="48">
        <f t="shared" si="5"/>
        <v>0.35049019607843135</v>
      </c>
      <c r="V38" s="50">
        <f>F38*MAX(0,1-(MIN(MAX(Inputs!$B$33,0),60)/30))+F37*MAX(0,1-ABS((MIN(MAX(Inputs!$B$33,0),60)/30)-1))+F36*MAX(0,(MIN(MAX(Inputs!$B$33,0),60)/30)-1)</f>
        <v>2249100</v>
      </c>
      <c r="W38" s="50">
        <f t="shared" si="6"/>
        <v>1460812.5</v>
      </c>
      <c r="X38" s="50">
        <f>IF($A38=0,Inputs!$B$56+Inputs!$B$19,0)</f>
        <v>0</v>
      </c>
      <c r="Y38" s="50">
        <f>IF($A38=0,Inputs!$B$58,0)</f>
        <v>0</v>
      </c>
      <c r="Z38" s="50">
        <f t="shared" si="7"/>
        <v>788287.5</v>
      </c>
      <c r="AA38" s="50">
        <f>F38*Inputs!$B$32</f>
        <v>4498200</v>
      </c>
      <c r="AB38" s="50">
        <f t="shared" si="14"/>
        <v>0</v>
      </c>
      <c r="AC38" s="50">
        <f t="shared" si="8"/>
        <v>788287.5</v>
      </c>
      <c r="AD38" s="51">
        <f t="shared" si="15"/>
        <v>-5653462.5</v>
      </c>
      <c r="AE38" s="50">
        <f t="shared" si="16"/>
        <v>-1155262.5</v>
      </c>
      <c r="AF38" s="50">
        <f>AD38+SUM(Y$5:Y38)</f>
        <v>-1753462.5</v>
      </c>
      <c r="AG38" s="47">
        <f>IF(AND($A38&gt;=1,COUNTIF(T38:T$41,"&lt;0")=0),$A38,"")</f>
        <v>33</v>
      </c>
      <c r="AH38" s="47" t="str">
        <f t="shared" si="9"/>
        <v/>
      </c>
      <c r="AI38" s="47" t="str">
        <f t="shared" si="10"/>
        <v/>
      </c>
      <c r="AJ38" s="52">
        <f t="shared" si="11"/>
        <v>22.491</v>
      </c>
      <c r="AK38" s="52">
        <f t="shared" si="12"/>
        <v>14.608124999999999</v>
      </c>
      <c r="AL38" s="52">
        <f t="shared" si="13"/>
        <v>-56.534624999999998</v>
      </c>
    </row>
    <row r="39" spans="1:38" x14ac:dyDescent="0.2">
      <c r="A39" s="46">
        <v>34</v>
      </c>
      <c r="B39" s="47">
        <f t="shared" si="0"/>
        <v>3</v>
      </c>
      <c r="C39" s="48">
        <f>IF($A39=0,0,IF(OR(Inputs!$B$38&lt;=1,$A39&gt;=Inputs!$B$38),Inputs!$B$37,Inputs!$B$36+(Inputs!$B$37-Inputs!$B$36)*($A39-1)/(Inputs!$B$38-1)))</f>
        <v>0.85</v>
      </c>
      <c r="D39" s="49">
        <f>ROUNDDOWN(INT(Inputs!$B$7)*C39+0.000000001,0)</f>
        <v>170</v>
      </c>
      <c r="E39" s="50">
        <f>IF($A39=0,0,Inputs!$B$28*(1+Inputs!$B$29)^($B39-1))</f>
        <v>13230</v>
      </c>
      <c r="F39" s="50">
        <f t="shared" si="1"/>
        <v>2249100</v>
      </c>
      <c r="G39" s="50">
        <f>IF($A39&lt;=MAX(Inputs!$B$12,0),0,Inputs!$B$6*Inputs!$B$10*(1+Inputs!$B$13)^($B39-1))</f>
        <v>716625</v>
      </c>
      <c r="H39" s="50">
        <f>IF($A39=0,0,Inputs!$B$6*Inputs!$B$11*(1+Inputs!$B$13)^($B39-1))</f>
        <v>132300</v>
      </c>
      <c r="I39" s="50">
        <f>IF($A39=0,0,Inputs!$B$41*(1+Inputs!$B$51)^($B39-1))</f>
        <v>154350</v>
      </c>
      <c r="J39" s="50">
        <f>IF($A39=0,0,Inputs!$B$42*(1+Inputs!$B$51)^($B39-1))</f>
        <v>66150</v>
      </c>
      <c r="K39" s="50">
        <f>IF($A39=0,0,Inputs!$B$43*(1+Inputs!$B$51)^($B39-1))</f>
        <v>38587.5</v>
      </c>
      <c r="L39" s="50">
        <f>IF($A39=0,0,Inputs!$B$44*(1+Inputs!$B$51)^($B39-1))</f>
        <v>22050</v>
      </c>
      <c r="M39" s="50">
        <f>IF($A39=0,0,Inputs!$B$45*(1+Inputs!$B$51)^($B39-1))</f>
        <v>16537.5</v>
      </c>
      <c r="N39" s="50">
        <f>IF($A39=0,0,Inputs!$B$46*(1+Inputs!$B$51)^($B39-1))</f>
        <v>11025</v>
      </c>
      <c r="O39" s="50">
        <f>IF($A39=0,0,Inputs!$B$47*(1+Inputs!$B$51)^($B39-1))</f>
        <v>13230</v>
      </c>
      <c r="P39" s="50">
        <f>IF($A39=0,0,Inputs!$B$48*(1+Inputs!$B$51)^($B39-1))</f>
        <v>8820</v>
      </c>
      <c r="Q39" s="50">
        <f>IF($A39=0,0,Inputs!$B$50*(1+Inputs!$B$51)^($B39-1))</f>
        <v>1653.75</v>
      </c>
      <c r="R39" s="50">
        <f t="shared" si="2"/>
        <v>281137.5</v>
      </c>
      <c r="S39" s="50">
        <f t="shared" si="3"/>
        <v>1460812.5</v>
      </c>
      <c r="T39" s="51">
        <f t="shared" si="4"/>
        <v>788287.5</v>
      </c>
      <c r="U39" s="48">
        <f t="shared" si="5"/>
        <v>0.35049019607843135</v>
      </c>
      <c r="V39" s="50">
        <f>F39*MAX(0,1-(MIN(MAX(Inputs!$B$33,0),60)/30))+F38*MAX(0,1-ABS((MIN(MAX(Inputs!$B$33,0),60)/30)-1))+F37*MAX(0,(MIN(MAX(Inputs!$B$33,0),60)/30)-1)</f>
        <v>2249100</v>
      </c>
      <c r="W39" s="50">
        <f t="shared" si="6"/>
        <v>1460812.5</v>
      </c>
      <c r="X39" s="50">
        <f>IF($A39=0,Inputs!$B$56+Inputs!$B$19,0)</f>
        <v>0</v>
      </c>
      <c r="Y39" s="50">
        <f>IF($A39=0,Inputs!$B$58,0)</f>
        <v>0</v>
      </c>
      <c r="Z39" s="50">
        <f t="shared" si="7"/>
        <v>788287.5</v>
      </c>
      <c r="AA39" s="50">
        <f>F39*Inputs!$B$32</f>
        <v>4498200</v>
      </c>
      <c r="AB39" s="50">
        <f t="shared" si="14"/>
        <v>0</v>
      </c>
      <c r="AC39" s="50">
        <f t="shared" si="8"/>
        <v>788287.5</v>
      </c>
      <c r="AD39" s="51">
        <f t="shared" si="15"/>
        <v>-4865175</v>
      </c>
      <c r="AE39" s="50">
        <f t="shared" si="16"/>
        <v>-366975</v>
      </c>
      <c r="AF39" s="50">
        <f>AD39+SUM(Y$5:Y39)</f>
        <v>-965175</v>
      </c>
      <c r="AG39" s="47">
        <f>IF(AND($A39&gt;=1,COUNTIF(T39:T$41,"&lt;0")=0),$A39,"")</f>
        <v>34</v>
      </c>
      <c r="AH39" s="47" t="str">
        <f t="shared" si="9"/>
        <v/>
      </c>
      <c r="AI39" s="47" t="str">
        <f t="shared" si="10"/>
        <v/>
      </c>
      <c r="AJ39" s="52">
        <f t="shared" si="11"/>
        <v>22.491</v>
      </c>
      <c r="AK39" s="52">
        <f t="shared" si="12"/>
        <v>14.608124999999999</v>
      </c>
      <c r="AL39" s="52">
        <f t="shared" si="13"/>
        <v>-48.65175</v>
      </c>
    </row>
    <row r="40" spans="1:38" x14ac:dyDescent="0.2">
      <c r="A40" s="46">
        <v>35</v>
      </c>
      <c r="B40" s="47">
        <f t="shared" si="0"/>
        <v>3</v>
      </c>
      <c r="C40" s="48">
        <f>IF($A40=0,0,IF(OR(Inputs!$B$38&lt;=1,$A40&gt;=Inputs!$B$38),Inputs!$B$37,Inputs!$B$36+(Inputs!$B$37-Inputs!$B$36)*($A40-1)/(Inputs!$B$38-1)))</f>
        <v>0.85</v>
      </c>
      <c r="D40" s="49">
        <f>ROUNDDOWN(INT(Inputs!$B$7)*C40+0.000000001,0)</f>
        <v>170</v>
      </c>
      <c r="E40" s="50">
        <f>IF($A40=0,0,Inputs!$B$28*(1+Inputs!$B$29)^($B40-1))</f>
        <v>13230</v>
      </c>
      <c r="F40" s="50">
        <f t="shared" si="1"/>
        <v>2249100</v>
      </c>
      <c r="G40" s="50">
        <f>IF($A40&lt;=MAX(Inputs!$B$12,0),0,Inputs!$B$6*Inputs!$B$10*(1+Inputs!$B$13)^($B40-1))</f>
        <v>716625</v>
      </c>
      <c r="H40" s="50">
        <f>IF($A40=0,0,Inputs!$B$6*Inputs!$B$11*(1+Inputs!$B$13)^($B40-1))</f>
        <v>132300</v>
      </c>
      <c r="I40" s="50">
        <f>IF($A40=0,0,Inputs!$B$41*(1+Inputs!$B$51)^($B40-1))</f>
        <v>154350</v>
      </c>
      <c r="J40" s="50">
        <f>IF($A40=0,0,Inputs!$B$42*(1+Inputs!$B$51)^($B40-1))</f>
        <v>66150</v>
      </c>
      <c r="K40" s="50">
        <f>IF($A40=0,0,Inputs!$B$43*(1+Inputs!$B$51)^($B40-1))</f>
        <v>38587.5</v>
      </c>
      <c r="L40" s="50">
        <f>IF($A40=0,0,Inputs!$B$44*(1+Inputs!$B$51)^($B40-1))</f>
        <v>22050</v>
      </c>
      <c r="M40" s="50">
        <f>IF($A40=0,0,Inputs!$B$45*(1+Inputs!$B$51)^($B40-1))</f>
        <v>16537.5</v>
      </c>
      <c r="N40" s="50">
        <f>IF($A40=0,0,Inputs!$B$46*(1+Inputs!$B$51)^($B40-1))</f>
        <v>11025</v>
      </c>
      <c r="O40" s="50">
        <f>IF($A40=0,0,Inputs!$B$47*(1+Inputs!$B$51)^($B40-1))</f>
        <v>13230</v>
      </c>
      <c r="P40" s="50">
        <f>IF($A40=0,0,Inputs!$B$48*(1+Inputs!$B$51)^($B40-1))</f>
        <v>8820</v>
      </c>
      <c r="Q40" s="50">
        <f>IF($A40=0,0,Inputs!$B$50*(1+Inputs!$B$51)^($B40-1))</f>
        <v>1653.75</v>
      </c>
      <c r="R40" s="50">
        <f t="shared" si="2"/>
        <v>281137.5</v>
      </c>
      <c r="S40" s="50">
        <f t="shared" si="3"/>
        <v>1460812.5</v>
      </c>
      <c r="T40" s="51">
        <f t="shared" si="4"/>
        <v>788287.5</v>
      </c>
      <c r="U40" s="48">
        <f t="shared" si="5"/>
        <v>0.35049019607843135</v>
      </c>
      <c r="V40" s="50">
        <f>F40*MAX(0,1-(MIN(MAX(Inputs!$B$33,0),60)/30))+F39*MAX(0,1-ABS((MIN(MAX(Inputs!$B$33,0),60)/30)-1))+F38*MAX(0,(MIN(MAX(Inputs!$B$33,0),60)/30)-1)</f>
        <v>2249100</v>
      </c>
      <c r="W40" s="50">
        <f t="shared" si="6"/>
        <v>1460812.5</v>
      </c>
      <c r="X40" s="50">
        <f>IF($A40=0,Inputs!$B$56+Inputs!$B$19,0)</f>
        <v>0</v>
      </c>
      <c r="Y40" s="50">
        <f>IF($A40=0,Inputs!$B$58,0)</f>
        <v>0</v>
      </c>
      <c r="Z40" s="50">
        <f t="shared" si="7"/>
        <v>788287.5</v>
      </c>
      <c r="AA40" s="50">
        <f>F40*Inputs!$B$32</f>
        <v>4498200</v>
      </c>
      <c r="AB40" s="50">
        <f t="shared" si="14"/>
        <v>0</v>
      </c>
      <c r="AC40" s="50">
        <f t="shared" si="8"/>
        <v>788287.5</v>
      </c>
      <c r="AD40" s="51">
        <f t="shared" si="15"/>
        <v>-4076887.5</v>
      </c>
      <c r="AE40" s="50">
        <f t="shared" si="16"/>
        <v>421312.5</v>
      </c>
      <c r="AF40" s="50">
        <f>AD40+SUM(Y$5:Y40)</f>
        <v>-176887.5</v>
      </c>
      <c r="AG40" s="47">
        <f>IF(AND($A40&gt;=1,COUNTIF(T40:T$41,"&lt;0")=0),$A40,"")</f>
        <v>35</v>
      </c>
      <c r="AH40" s="47" t="str">
        <f t="shared" si="9"/>
        <v/>
      </c>
      <c r="AI40" s="47" t="str">
        <f t="shared" si="10"/>
        <v/>
      </c>
      <c r="AJ40" s="52">
        <f t="shared" si="11"/>
        <v>22.491</v>
      </c>
      <c r="AK40" s="52">
        <f t="shared" si="12"/>
        <v>14.608124999999999</v>
      </c>
      <c r="AL40" s="52">
        <f t="shared" si="13"/>
        <v>-40.768875000000001</v>
      </c>
    </row>
    <row r="41" spans="1:38" x14ac:dyDescent="0.2">
      <c r="A41" s="46">
        <v>36</v>
      </c>
      <c r="B41" s="47">
        <f t="shared" si="0"/>
        <v>3</v>
      </c>
      <c r="C41" s="48">
        <f>IF($A41=0,0,IF(OR(Inputs!$B$38&lt;=1,$A41&gt;=Inputs!$B$38),Inputs!$B$37,Inputs!$B$36+(Inputs!$B$37-Inputs!$B$36)*($A41-1)/(Inputs!$B$38-1)))</f>
        <v>0.85</v>
      </c>
      <c r="D41" s="49">
        <f>ROUNDDOWN(INT(Inputs!$B$7)*C41+0.000000001,0)</f>
        <v>170</v>
      </c>
      <c r="E41" s="50">
        <f>IF($A41=0,0,Inputs!$B$28*(1+Inputs!$B$29)^($B41-1))</f>
        <v>13230</v>
      </c>
      <c r="F41" s="50">
        <f t="shared" si="1"/>
        <v>2249100</v>
      </c>
      <c r="G41" s="50">
        <f>IF($A41&lt;=MAX(Inputs!$B$12,0),0,Inputs!$B$6*Inputs!$B$10*(1+Inputs!$B$13)^($B41-1))</f>
        <v>716625</v>
      </c>
      <c r="H41" s="50">
        <f>IF($A41=0,0,Inputs!$B$6*Inputs!$B$11*(1+Inputs!$B$13)^($B41-1))</f>
        <v>132300</v>
      </c>
      <c r="I41" s="50">
        <f>IF($A41=0,0,Inputs!$B$41*(1+Inputs!$B$51)^($B41-1))</f>
        <v>154350</v>
      </c>
      <c r="J41" s="50">
        <f>IF($A41=0,0,Inputs!$B$42*(1+Inputs!$B$51)^($B41-1))</f>
        <v>66150</v>
      </c>
      <c r="K41" s="50">
        <f>IF($A41=0,0,Inputs!$B$43*(1+Inputs!$B$51)^($B41-1))</f>
        <v>38587.5</v>
      </c>
      <c r="L41" s="50">
        <f>IF($A41=0,0,Inputs!$B$44*(1+Inputs!$B$51)^($B41-1))</f>
        <v>22050</v>
      </c>
      <c r="M41" s="50">
        <f>IF($A41=0,0,Inputs!$B$45*(1+Inputs!$B$51)^($B41-1))</f>
        <v>16537.5</v>
      </c>
      <c r="N41" s="50">
        <f>IF($A41=0,0,Inputs!$B$46*(1+Inputs!$B$51)^($B41-1))</f>
        <v>11025</v>
      </c>
      <c r="O41" s="50">
        <f>IF($A41=0,0,Inputs!$B$47*(1+Inputs!$B$51)^($B41-1))</f>
        <v>13230</v>
      </c>
      <c r="P41" s="50">
        <f>IF($A41=0,0,Inputs!$B$48*(1+Inputs!$B$51)^($B41-1))</f>
        <v>8820</v>
      </c>
      <c r="Q41" s="50">
        <f>IF($A41=0,0,Inputs!$B$50*(1+Inputs!$B$51)^($B41-1))</f>
        <v>1653.75</v>
      </c>
      <c r="R41" s="50">
        <f t="shared" si="2"/>
        <v>281137.5</v>
      </c>
      <c r="S41" s="50">
        <f t="shared" si="3"/>
        <v>1460812.5</v>
      </c>
      <c r="T41" s="51">
        <f t="shared" si="4"/>
        <v>788287.5</v>
      </c>
      <c r="U41" s="48">
        <f t="shared" si="5"/>
        <v>0.35049019607843135</v>
      </c>
      <c r="V41" s="50">
        <f>F41*MAX(0,1-(MIN(MAX(Inputs!$B$33,0),60)/30))+F40*MAX(0,1-ABS((MIN(MAX(Inputs!$B$33,0),60)/30)-1))+F39*MAX(0,(MIN(MAX(Inputs!$B$33,0),60)/30)-1)</f>
        <v>2249100</v>
      </c>
      <c r="W41" s="50">
        <f t="shared" si="6"/>
        <v>1460812.5</v>
      </c>
      <c r="X41" s="50">
        <f>IF($A41=0,Inputs!$B$56+Inputs!$B$19,0)</f>
        <v>0</v>
      </c>
      <c r="Y41" s="50">
        <f>IF($A41=0,Inputs!$B$58,0)</f>
        <v>0</v>
      </c>
      <c r="Z41" s="50">
        <f t="shared" si="7"/>
        <v>788287.5</v>
      </c>
      <c r="AA41" s="50">
        <f>F41*Inputs!$B$32</f>
        <v>4498200</v>
      </c>
      <c r="AB41" s="50">
        <f t="shared" si="14"/>
        <v>0</v>
      </c>
      <c r="AC41" s="50">
        <f t="shared" si="8"/>
        <v>788287.5</v>
      </c>
      <c r="AD41" s="51">
        <f t="shared" si="15"/>
        <v>-3288600</v>
      </c>
      <c r="AE41" s="50">
        <f t="shared" si="16"/>
        <v>1209600</v>
      </c>
      <c r="AF41" s="50">
        <f>AD41+SUM(Y$5:Y41)</f>
        <v>611400</v>
      </c>
      <c r="AG41" s="47">
        <f>IF(AND($A41&gt;=1,COUNTIF(T41:T$41,"&lt;0")=0),$A41,"")</f>
        <v>36</v>
      </c>
      <c r="AH41" s="47" t="str">
        <f t="shared" si="9"/>
        <v/>
      </c>
      <c r="AI41" s="47">
        <f t="shared" si="10"/>
        <v>36</v>
      </c>
      <c r="AJ41" s="52">
        <f t="shared" si="11"/>
        <v>22.491</v>
      </c>
      <c r="AK41" s="52">
        <f t="shared" si="12"/>
        <v>14.608124999999999</v>
      </c>
      <c r="AL41" s="52">
        <f t="shared" si="13"/>
        <v>-32.886000000000003</v>
      </c>
    </row>
    <row r="43" spans="1:38" x14ac:dyDescent="0.2">
      <c r="A43" s="7" t="s">
        <v>196</v>
      </c>
    </row>
  </sheetData>
  <mergeCells count="5">
    <mergeCell ref="V3:AF3"/>
    <mergeCell ref="AG3:AI3"/>
    <mergeCell ref="AJ3:AL3"/>
    <mergeCell ref="A3:F3"/>
    <mergeCell ref="G3:U3"/>
  </mergeCells>
  <conditionalFormatting sqref="E5:T41">
    <cfRule type="cellIs" dxfId="21" priority="1" stopIfTrue="1" operator="lessThanOrEqual">
      <formula>-9999999.5</formula>
    </cfRule>
    <cfRule type="cellIs" dxfId="20" priority="2" stopIfTrue="1" operator="lessThanOrEqual">
      <formula>-99999.5</formula>
    </cfRule>
  </conditionalFormatting>
  <conditionalFormatting sqref="V5:AF41">
    <cfRule type="cellIs" dxfId="19" priority="34" stopIfTrue="1" operator="lessThanOrEqual">
      <formula>-99999.5</formula>
    </cfRule>
    <cfRule type="cellIs" dxfId="18" priority="33" stopIfTrue="1" operator="lessThanOrEqual">
      <formula>-9999999.5</formula>
    </cfRule>
  </conditionalFormatting>
  <pageMargins left="0.75" right="0.75" top="1" bottom="1" header="0.5" footer="0.5"/>
  <pageSetup fitToHeight="0" orientation="landscape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U43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8" customWidth="1"/>
    <col min="2" max="2" width="6" customWidth="1"/>
    <col min="3" max="9" width="13" customWidth="1"/>
    <col min="11" max="17" width="13" customWidth="1"/>
    <col min="19" max="25" width="13" customWidth="1"/>
    <col min="27" max="33" width="13" customWidth="1"/>
    <col min="35" max="41" width="13" customWidth="1"/>
    <col min="43" max="49" width="13" customWidth="1"/>
    <col min="51" max="57" width="13" customWidth="1"/>
    <col min="59" max="65" width="13" customWidth="1"/>
    <col min="67" max="73" width="13" customWidth="1"/>
  </cols>
  <sheetData>
    <row r="1" spans="1:73" ht="20" x14ac:dyDescent="0.2">
      <c r="A1" s="6" t="s">
        <v>197</v>
      </c>
    </row>
    <row r="2" spans="1:73" x14ac:dyDescent="0.2">
      <c r="A2" s="7" t="s">
        <v>198</v>
      </c>
    </row>
    <row r="3" spans="1:73" x14ac:dyDescent="0.2">
      <c r="C3" s="64" t="s">
        <v>199</v>
      </c>
      <c r="D3" s="58"/>
      <c r="E3" s="58"/>
      <c r="F3" s="58"/>
      <c r="G3" s="58"/>
      <c r="H3" s="58"/>
      <c r="I3" s="58"/>
      <c r="K3" s="64" t="s">
        <v>200</v>
      </c>
      <c r="L3" s="58"/>
      <c r="M3" s="58"/>
      <c r="N3" s="58"/>
      <c r="O3" s="58"/>
      <c r="P3" s="58"/>
      <c r="Q3" s="58"/>
      <c r="S3" s="64" t="s">
        <v>201</v>
      </c>
      <c r="T3" s="58"/>
      <c r="U3" s="58"/>
      <c r="V3" s="58"/>
      <c r="W3" s="58"/>
      <c r="X3" s="58"/>
      <c r="Y3" s="58"/>
      <c r="AA3" s="64" t="s">
        <v>202</v>
      </c>
      <c r="AB3" s="58"/>
      <c r="AC3" s="58"/>
      <c r="AD3" s="58"/>
      <c r="AE3" s="58"/>
      <c r="AF3" s="58"/>
      <c r="AG3" s="58"/>
      <c r="AI3" s="64" t="s">
        <v>203</v>
      </c>
      <c r="AJ3" s="58"/>
      <c r="AK3" s="58"/>
      <c r="AL3" s="58"/>
      <c r="AM3" s="58"/>
      <c r="AN3" s="58"/>
      <c r="AO3" s="58"/>
      <c r="AQ3" s="64" t="s">
        <v>204</v>
      </c>
      <c r="AR3" s="58"/>
      <c r="AS3" s="58"/>
      <c r="AT3" s="58"/>
      <c r="AU3" s="58"/>
      <c r="AV3" s="58"/>
      <c r="AW3" s="58"/>
      <c r="AY3" s="64" t="s">
        <v>205</v>
      </c>
      <c r="AZ3" s="58"/>
      <c r="BA3" s="58"/>
      <c r="BB3" s="58"/>
      <c r="BC3" s="58"/>
      <c r="BD3" s="58"/>
      <c r="BE3" s="58"/>
      <c r="BG3" s="64" t="s">
        <v>206</v>
      </c>
      <c r="BH3" s="58"/>
      <c r="BI3" s="58"/>
      <c r="BJ3" s="58"/>
      <c r="BK3" s="58"/>
      <c r="BL3" s="58"/>
      <c r="BM3" s="58"/>
      <c r="BO3" s="64" t="s">
        <v>207</v>
      </c>
      <c r="BP3" s="58"/>
      <c r="BQ3" s="58"/>
      <c r="BR3" s="58"/>
      <c r="BS3" s="58"/>
      <c r="BT3" s="58"/>
      <c r="BU3" s="58"/>
    </row>
    <row r="4" spans="1:73" x14ac:dyDescent="0.2">
      <c r="C4" s="53" t="s">
        <v>208</v>
      </c>
      <c r="D4" s="54">
        <v>0.9</v>
      </c>
      <c r="E4" s="53" t="s">
        <v>80</v>
      </c>
      <c r="F4" s="55">
        <f>MIN(1,MAX(0,Inputs!$B$37+(-0.1)))</f>
        <v>0.75</v>
      </c>
      <c r="K4" s="53" t="s">
        <v>208</v>
      </c>
      <c r="L4" s="54">
        <v>1</v>
      </c>
      <c r="M4" s="53" t="s">
        <v>80</v>
      </c>
      <c r="N4" s="55">
        <f>MIN(1,MAX(0,Inputs!$B$37+(-0.1)))</f>
        <v>0.75</v>
      </c>
      <c r="S4" s="53" t="s">
        <v>208</v>
      </c>
      <c r="T4" s="54">
        <v>1.1000000000000001</v>
      </c>
      <c r="U4" s="53" t="s">
        <v>80</v>
      </c>
      <c r="V4" s="55">
        <f>MIN(1,MAX(0,Inputs!$B$37+(-0.1)))</f>
        <v>0.75</v>
      </c>
      <c r="AA4" s="53" t="s">
        <v>208</v>
      </c>
      <c r="AB4" s="54">
        <v>0.9</v>
      </c>
      <c r="AC4" s="53" t="s">
        <v>80</v>
      </c>
      <c r="AD4" s="55">
        <f>MIN(1,MAX(0,Inputs!$B$37+(0)))</f>
        <v>0.85</v>
      </c>
      <c r="AI4" s="53" t="s">
        <v>208</v>
      </c>
      <c r="AJ4" s="54">
        <v>1</v>
      </c>
      <c r="AK4" s="53" t="s">
        <v>80</v>
      </c>
      <c r="AL4" s="55">
        <f>MIN(1,MAX(0,Inputs!$B$37+(0)))</f>
        <v>0.85</v>
      </c>
      <c r="AQ4" s="53" t="s">
        <v>208</v>
      </c>
      <c r="AR4" s="54">
        <v>1.1000000000000001</v>
      </c>
      <c r="AS4" s="53" t="s">
        <v>80</v>
      </c>
      <c r="AT4" s="55">
        <f>MIN(1,MAX(0,Inputs!$B$37+(0)))</f>
        <v>0.85</v>
      </c>
      <c r="AY4" s="53" t="s">
        <v>208</v>
      </c>
      <c r="AZ4" s="54">
        <v>0.9</v>
      </c>
      <c r="BA4" s="53" t="s">
        <v>80</v>
      </c>
      <c r="BB4" s="55">
        <f>MIN(1,MAX(0,Inputs!$B$37+(0.1)))</f>
        <v>0.95</v>
      </c>
      <c r="BG4" s="53" t="s">
        <v>208</v>
      </c>
      <c r="BH4" s="54">
        <v>1</v>
      </c>
      <c r="BI4" s="53" t="s">
        <v>80</v>
      </c>
      <c r="BJ4" s="55">
        <f>MIN(1,MAX(0,Inputs!$B$37+(0.1)))</f>
        <v>0.95</v>
      </c>
      <c r="BO4" s="53" t="s">
        <v>208</v>
      </c>
      <c r="BP4" s="54">
        <v>1.1000000000000001</v>
      </c>
      <c r="BQ4" s="53" t="s">
        <v>80</v>
      </c>
      <c r="BR4" s="55">
        <f>MIN(1,MAX(0,Inputs!$B$37+(0.1)))</f>
        <v>0.95</v>
      </c>
    </row>
    <row r="6" spans="1:73" ht="26" x14ac:dyDescent="0.2">
      <c r="A6" s="39" t="s">
        <v>168</v>
      </c>
      <c r="B6" s="39" t="s">
        <v>169</v>
      </c>
      <c r="C6" s="39" t="s">
        <v>170</v>
      </c>
      <c r="D6" s="39" t="s">
        <v>171</v>
      </c>
      <c r="E6" s="39" t="s">
        <v>144</v>
      </c>
      <c r="F6" s="39" t="s">
        <v>147</v>
      </c>
      <c r="G6" s="39" t="s">
        <v>209</v>
      </c>
      <c r="H6" s="39" t="s">
        <v>187</v>
      </c>
      <c r="I6" s="39" t="s">
        <v>191</v>
      </c>
      <c r="K6" s="39" t="s">
        <v>170</v>
      </c>
      <c r="L6" s="39" t="s">
        <v>171</v>
      </c>
      <c r="M6" s="39" t="s">
        <v>144</v>
      </c>
      <c r="N6" s="39" t="s">
        <v>147</v>
      </c>
      <c r="O6" s="39" t="s">
        <v>209</v>
      </c>
      <c r="P6" s="39" t="s">
        <v>187</v>
      </c>
      <c r="Q6" s="39" t="s">
        <v>191</v>
      </c>
      <c r="S6" s="39" t="s">
        <v>170</v>
      </c>
      <c r="T6" s="39" t="s">
        <v>171</v>
      </c>
      <c r="U6" s="39" t="s">
        <v>144</v>
      </c>
      <c r="V6" s="39" t="s">
        <v>147</v>
      </c>
      <c r="W6" s="39" t="s">
        <v>209</v>
      </c>
      <c r="X6" s="39" t="s">
        <v>187</v>
      </c>
      <c r="Y6" s="39" t="s">
        <v>191</v>
      </c>
      <c r="AA6" s="39" t="s">
        <v>170</v>
      </c>
      <c r="AB6" s="39" t="s">
        <v>171</v>
      </c>
      <c r="AC6" s="39" t="s">
        <v>144</v>
      </c>
      <c r="AD6" s="39" t="s">
        <v>147</v>
      </c>
      <c r="AE6" s="39" t="s">
        <v>209</v>
      </c>
      <c r="AF6" s="39" t="s">
        <v>187</v>
      </c>
      <c r="AG6" s="39" t="s">
        <v>191</v>
      </c>
      <c r="AI6" s="39" t="s">
        <v>170</v>
      </c>
      <c r="AJ6" s="39" t="s">
        <v>171</v>
      </c>
      <c r="AK6" s="39" t="s">
        <v>144</v>
      </c>
      <c r="AL6" s="39" t="s">
        <v>147</v>
      </c>
      <c r="AM6" s="39" t="s">
        <v>209</v>
      </c>
      <c r="AN6" s="39" t="s">
        <v>187</v>
      </c>
      <c r="AO6" s="39" t="s">
        <v>191</v>
      </c>
      <c r="AQ6" s="39" t="s">
        <v>170</v>
      </c>
      <c r="AR6" s="39" t="s">
        <v>171</v>
      </c>
      <c r="AS6" s="39" t="s">
        <v>144</v>
      </c>
      <c r="AT6" s="39" t="s">
        <v>147</v>
      </c>
      <c r="AU6" s="39" t="s">
        <v>209</v>
      </c>
      <c r="AV6" s="39" t="s">
        <v>187</v>
      </c>
      <c r="AW6" s="39" t="s">
        <v>191</v>
      </c>
      <c r="AY6" s="39" t="s">
        <v>170</v>
      </c>
      <c r="AZ6" s="39" t="s">
        <v>171</v>
      </c>
      <c r="BA6" s="39" t="s">
        <v>144</v>
      </c>
      <c r="BB6" s="39" t="s">
        <v>147</v>
      </c>
      <c r="BC6" s="39" t="s">
        <v>209</v>
      </c>
      <c r="BD6" s="39" t="s">
        <v>187</v>
      </c>
      <c r="BE6" s="39" t="s">
        <v>191</v>
      </c>
      <c r="BG6" s="39" t="s">
        <v>170</v>
      </c>
      <c r="BH6" s="39" t="s">
        <v>171</v>
      </c>
      <c r="BI6" s="39" t="s">
        <v>144</v>
      </c>
      <c r="BJ6" s="39" t="s">
        <v>147</v>
      </c>
      <c r="BK6" s="39" t="s">
        <v>209</v>
      </c>
      <c r="BL6" s="39" t="s">
        <v>187</v>
      </c>
      <c r="BM6" s="39" t="s">
        <v>191</v>
      </c>
      <c r="BO6" s="39" t="s">
        <v>170</v>
      </c>
      <c r="BP6" s="39" t="s">
        <v>171</v>
      </c>
      <c r="BQ6" s="39" t="s">
        <v>144</v>
      </c>
      <c r="BR6" s="39" t="s">
        <v>147</v>
      </c>
      <c r="BS6" s="39" t="s">
        <v>209</v>
      </c>
      <c r="BT6" s="39" t="s">
        <v>187</v>
      </c>
      <c r="BU6" s="39" t="s">
        <v>191</v>
      </c>
    </row>
    <row r="7" spans="1:73" x14ac:dyDescent="0.2">
      <c r="A7" s="56">
        <f>Monthly!A5</f>
        <v>0</v>
      </c>
      <c r="B7" s="56">
        <f>Monthly!B5</f>
        <v>0</v>
      </c>
      <c r="C7" s="42">
        <f>IF($A7=0,0,IF(OR(Inputs!$B$38&lt;=1,$A7&gt;=Inputs!$B$38),$F$4,Inputs!$B$36+($F$4-Inputs!$B$36)*($A7-1)/(Inputs!$B$38-1)))</f>
        <v>0</v>
      </c>
      <c r="D7" s="43">
        <f>ROUNDDOWN(INT(Inputs!$B$7)*C7+0.000000001,0)</f>
        <v>0</v>
      </c>
      <c r="E7" s="44">
        <f>D7*Monthly!E5*$D$4</f>
        <v>0</v>
      </c>
      <c r="F7" s="44">
        <f>E7-(Monthly!S5-Monthly!R5)-D7*Monthly!Q5</f>
        <v>0</v>
      </c>
      <c r="G7" s="44">
        <f>E7*MAX(0,1-(MIN(MAX(Inputs!$B$33,0),60)/30))+0*MAX(0,1-ABS((MIN(MAX(Inputs!$B$33,0),60)/30)-1))+0*MAX(0,(MIN(MAX(Inputs!$B$33,0),60)/30)-1)</f>
        <v>0</v>
      </c>
      <c r="H7" s="44">
        <f>G7-(Monthly!S5-Monthly!R5)-D7*Monthly!Q5-Monthly!X5-Monthly!Y5</f>
        <v>-22900000</v>
      </c>
      <c r="I7" s="41" t="str">
        <f t="shared" ref="I7:I43" si="0">IF(AND($A7&gt;=1,H7&gt;=0),$A7,"")</f>
        <v/>
      </c>
      <c r="K7" s="42">
        <f>IF($A7=0,0,IF(OR(Inputs!$B$38&lt;=1,$A7&gt;=Inputs!$B$38),$N$4,Inputs!$B$36+($N$4-Inputs!$B$36)*($A7-1)/(Inputs!$B$38-1)))</f>
        <v>0</v>
      </c>
      <c r="L7" s="43">
        <f>ROUNDDOWN(INT(Inputs!$B$7)*K7+0.000000001,0)</f>
        <v>0</v>
      </c>
      <c r="M7" s="44">
        <f>L7*Monthly!E5*$L$4</f>
        <v>0</v>
      </c>
      <c r="N7" s="44">
        <f>M7-(Monthly!S5-Monthly!R5)-L7*Monthly!Q5</f>
        <v>0</v>
      </c>
      <c r="O7" s="44">
        <f>M7*MAX(0,1-(MIN(MAX(Inputs!$B$33,0),60)/30))+0*MAX(0,1-ABS((MIN(MAX(Inputs!$B$33,0),60)/30)-1))+0*MAX(0,(MIN(MAX(Inputs!$B$33,0),60)/30)-1)</f>
        <v>0</v>
      </c>
      <c r="P7" s="44">
        <f>O7-(Monthly!S5-Monthly!R5)-L7*Monthly!Q5-Monthly!X5-Monthly!Y5</f>
        <v>-22900000</v>
      </c>
      <c r="Q7" s="41" t="str">
        <f t="shared" ref="Q7:Q43" si="1">IF(AND($A7&gt;=1,P7&gt;=0),$A7,"")</f>
        <v/>
      </c>
      <c r="S7" s="42">
        <f>IF($A7=0,0,IF(OR(Inputs!$B$38&lt;=1,$A7&gt;=Inputs!$B$38),$V$4,Inputs!$B$36+($V$4-Inputs!$B$36)*($A7-1)/(Inputs!$B$38-1)))</f>
        <v>0</v>
      </c>
      <c r="T7" s="43">
        <f>ROUNDDOWN(INT(Inputs!$B$7)*S7+0.000000001,0)</f>
        <v>0</v>
      </c>
      <c r="U7" s="44">
        <f>T7*Monthly!E5*$T$4</f>
        <v>0</v>
      </c>
      <c r="V7" s="44">
        <f>U7-(Monthly!S5-Monthly!R5)-T7*Monthly!Q5</f>
        <v>0</v>
      </c>
      <c r="W7" s="44">
        <f>U7*MAX(0,1-(MIN(MAX(Inputs!$B$33,0),60)/30))+0*MAX(0,1-ABS((MIN(MAX(Inputs!$B$33,0),60)/30)-1))+0*MAX(0,(MIN(MAX(Inputs!$B$33,0),60)/30)-1)</f>
        <v>0</v>
      </c>
      <c r="X7" s="44">
        <f>W7-(Monthly!S5-Monthly!R5)-T7*Monthly!Q5-Monthly!X5-Monthly!Y5</f>
        <v>-22900000</v>
      </c>
      <c r="Y7" s="41" t="str">
        <f t="shared" ref="Y7:Y43" si="2">IF(AND($A7&gt;=1,X7&gt;=0),$A7,"")</f>
        <v/>
      </c>
      <c r="AA7" s="42">
        <f>IF($A7=0,0,IF(OR(Inputs!$B$38&lt;=1,$A7&gt;=Inputs!$B$38),$AD$4,Inputs!$B$36+($AD$4-Inputs!$B$36)*($A7-1)/(Inputs!$B$38-1)))</f>
        <v>0</v>
      </c>
      <c r="AB7" s="43">
        <f>ROUNDDOWN(INT(Inputs!$B$7)*AA7+0.000000001,0)</f>
        <v>0</v>
      </c>
      <c r="AC7" s="44">
        <f>AB7*Monthly!E5*$AB$4</f>
        <v>0</v>
      </c>
      <c r="AD7" s="44">
        <f>AC7-(Monthly!S5-Monthly!R5)-AB7*Monthly!Q5</f>
        <v>0</v>
      </c>
      <c r="AE7" s="44">
        <f>AC7*MAX(0,1-(MIN(MAX(Inputs!$B$33,0),60)/30))+0*MAX(0,1-ABS((MIN(MAX(Inputs!$B$33,0),60)/30)-1))+0*MAX(0,(MIN(MAX(Inputs!$B$33,0),60)/30)-1)</f>
        <v>0</v>
      </c>
      <c r="AF7" s="44">
        <f>AE7-(Monthly!S5-Monthly!R5)-AB7*Monthly!Q5-Monthly!X5-Monthly!Y5</f>
        <v>-22900000</v>
      </c>
      <c r="AG7" s="41" t="str">
        <f t="shared" ref="AG7:AG43" si="3">IF(AND($A7&gt;=1,AF7&gt;=0),$A7,"")</f>
        <v/>
      </c>
      <c r="AI7" s="42">
        <f>IF($A7=0,0,IF(OR(Inputs!$B$38&lt;=1,$A7&gt;=Inputs!$B$38),$AL$4,Inputs!$B$36+($AL$4-Inputs!$B$36)*($A7-1)/(Inputs!$B$38-1)))</f>
        <v>0</v>
      </c>
      <c r="AJ7" s="43">
        <f>ROUNDDOWN(INT(Inputs!$B$7)*AI7+0.000000001,0)</f>
        <v>0</v>
      </c>
      <c r="AK7" s="44">
        <f>AJ7*Monthly!E5*$AJ$4</f>
        <v>0</v>
      </c>
      <c r="AL7" s="44">
        <f>AK7-(Monthly!S5-Monthly!R5)-AJ7*Monthly!Q5</f>
        <v>0</v>
      </c>
      <c r="AM7" s="44">
        <f>AK7*MAX(0,1-(MIN(MAX(Inputs!$B$33,0),60)/30))+0*MAX(0,1-ABS((MIN(MAX(Inputs!$B$33,0),60)/30)-1))+0*MAX(0,(MIN(MAX(Inputs!$B$33,0),60)/30)-1)</f>
        <v>0</v>
      </c>
      <c r="AN7" s="44">
        <f>AM7-(Monthly!S5-Monthly!R5)-AJ7*Monthly!Q5-Monthly!X5-Monthly!Y5</f>
        <v>-22900000</v>
      </c>
      <c r="AO7" s="41" t="str">
        <f t="shared" ref="AO7:AO43" si="4">IF(AND($A7&gt;=1,AN7&gt;=0),$A7,"")</f>
        <v/>
      </c>
      <c r="AQ7" s="42">
        <f>IF($A7=0,0,IF(OR(Inputs!$B$38&lt;=1,$A7&gt;=Inputs!$B$38),$AT$4,Inputs!$B$36+($AT$4-Inputs!$B$36)*($A7-1)/(Inputs!$B$38-1)))</f>
        <v>0</v>
      </c>
      <c r="AR7" s="43">
        <f>ROUNDDOWN(INT(Inputs!$B$7)*AQ7+0.000000001,0)</f>
        <v>0</v>
      </c>
      <c r="AS7" s="44">
        <f>AR7*Monthly!E5*$AR$4</f>
        <v>0</v>
      </c>
      <c r="AT7" s="44">
        <f>AS7-(Monthly!S5-Monthly!R5)-AR7*Monthly!Q5</f>
        <v>0</v>
      </c>
      <c r="AU7" s="44">
        <f>AS7*MAX(0,1-(MIN(MAX(Inputs!$B$33,0),60)/30))+0*MAX(0,1-ABS((MIN(MAX(Inputs!$B$33,0),60)/30)-1))+0*MAX(0,(MIN(MAX(Inputs!$B$33,0),60)/30)-1)</f>
        <v>0</v>
      </c>
      <c r="AV7" s="44">
        <f>AU7-(Monthly!S5-Monthly!R5)-AR7*Monthly!Q5-Monthly!X5-Monthly!Y5</f>
        <v>-22900000</v>
      </c>
      <c r="AW7" s="41" t="str">
        <f t="shared" ref="AW7:AW43" si="5">IF(AND($A7&gt;=1,AV7&gt;=0),$A7,"")</f>
        <v/>
      </c>
      <c r="AY7" s="42">
        <f>IF($A7=0,0,IF(OR(Inputs!$B$38&lt;=1,$A7&gt;=Inputs!$B$38),$BB$4,Inputs!$B$36+($BB$4-Inputs!$B$36)*($A7-1)/(Inputs!$B$38-1)))</f>
        <v>0</v>
      </c>
      <c r="AZ7" s="43">
        <f>ROUNDDOWN(INT(Inputs!$B$7)*AY7+0.000000001,0)</f>
        <v>0</v>
      </c>
      <c r="BA7" s="44">
        <f>AZ7*Monthly!E5*$AZ$4</f>
        <v>0</v>
      </c>
      <c r="BB7" s="44">
        <f>BA7-(Monthly!S5-Monthly!R5)-AZ7*Monthly!Q5</f>
        <v>0</v>
      </c>
      <c r="BC7" s="44">
        <f>BA7*MAX(0,1-(MIN(MAX(Inputs!$B$33,0),60)/30))+0*MAX(0,1-ABS((MIN(MAX(Inputs!$B$33,0),60)/30)-1))+0*MAX(0,(MIN(MAX(Inputs!$B$33,0),60)/30)-1)</f>
        <v>0</v>
      </c>
      <c r="BD7" s="44">
        <f>BC7-(Monthly!S5-Monthly!R5)-AZ7*Monthly!Q5-Monthly!X5-Monthly!Y5</f>
        <v>-22900000</v>
      </c>
      <c r="BE7" s="41" t="str">
        <f t="shared" ref="BE7:BE43" si="6">IF(AND($A7&gt;=1,BD7&gt;=0),$A7,"")</f>
        <v/>
      </c>
      <c r="BG7" s="42">
        <f>IF($A7=0,0,IF(OR(Inputs!$B$38&lt;=1,$A7&gt;=Inputs!$B$38),$BJ$4,Inputs!$B$36+($BJ$4-Inputs!$B$36)*($A7-1)/(Inputs!$B$38-1)))</f>
        <v>0</v>
      </c>
      <c r="BH7" s="43">
        <f>ROUNDDOWN(INT(Inputs!$B$7)*BG7+0.000000001,0)</f>
        <v>0</v>
      </c>
      <c r="BI7" s="44">
        <f>BH7*Monthly!E5*$BH$4</f>
        <v>0</v>
      </c>
      <c r="BJ7" s="44">
        <f>BI7-(Monthly!S5-Monthly!R5)-BH7*Monthly!Q5</f>
        <v>0</v>
      </c>
      <c r="BK7" s="44">
        <f>BI7*MAX(0,1-(MIN(MAX(Inputs!$B$33,0),60)/30))+0*MAX(0,1-ABS((MIN(MAX(Inputs!$B$33,0),60)/30)-1))+0*MAX(0,(MIN(MAX(Inputs!$B$33,0),60)/30)-1)</f>
        <v>0</v>
      </c>
      <c r="BL7" s="44">
        <f>BK7-(Monthly!S5-Monthly!R5)-BH7*Monthly!Q5-Monthly!X5-Monthly!Y5</f>
        <v>-22900000</v>
      </c>
      <c r="BM7" s="41" t="str">
        <f t="shared" ref="BM7:BM43" si="7">IF(AND($A7&gt;=1,BL7&gt;=0),$A7,"")</f>
        <v/>
      </c>
      <c r="BO7" s="42">
        <f>IF($A7=0,0,IF(OR(Inputs!$B$38&lt;=1,$A7&gt;=Inputs!$B$38),$BR$4,Inputs!$B$36+($BR$4-Inputs!$B$36)*($A7-1)/(Inputs!$B$38-1)))</f>
        <v>0</v>
      </c>
      <c r="BP7" s="43">
        <f>ROUNDDOWN(INT(Inputs!$B$7)*BO7+0.000000001,0)</f>
        <v>0</v>
      </c>
      <c r="BQ7" s="44">
        <f>BP7*Monthly!E5*$BP$4</f>
        <v>0</v>
      </c>
      <c r="BR7" s="44">
        <f>BQ7-(Monthly!S5-Monthly!R5)-BP7*Monthly!Q5</f>
        <v>0</v>
      </c>
      <c r="BS7" s="44">
        <f>BQ7*MAX(0,1-(MIN(MAX(Inputs!$B$33,0),60)/30))+0*MAX(0,1-ABS((MIN(MAX(Inputs!$B$33,0),60)/30)-1))+0*MAX(0,(MIN(MAX(Inputs!$B$33,0),60)/30)-1)</f>
        <v>0</v>
      </c>
      <c r="BT7" s="44">
        <f>BS7-(Monthly!S5-Monthly!R5)-BP7*Monthly!Q5-Monthly!X5-Monthly!Y5</f>
        <v>-22900000</v>
      </c>
      <c r="BU7" s="41" t="str">
        <f t="shared" ref="BU7:BU43" si="8">IF(AND($A7&gt;=1,BT7&gt;=0),$A7,"")</f>
        <v/>
      </c>
    </row>
    <row r="8" spans="1:73" x14ac:dyDescent="0.2">
      <c r="A8" s="56">
        <f>Monthly!A6</f>
        <v>1</v>
      </c>
      <c r="B8" s="56">
        <f>Monthly!B6</f>
        <v>1</v>
      </c>
      <c r="C8" s="48">
        <f>IF($A8=0,0,IF(OR(Inputs!$B$38&lt;=1,$A8&gt;=Inputs!$B$38),$F$4,Inputs!$B$36+($F$4-Inputs!$B$36)*($A8-1)/(Inputs!$B$38-1)))</f>
        <v>0.25</v>
      </c>
      <c r="D8" s="49">
        <f>ROUNDDOWN(INT(Inputs!$B$7)*C8+0.000000001,0)</f>
        <v>50</v>
      </c>
      <c r="E8" s="50">
        <f>D8*Monthly!E6*$D$4</f>
        <v>540000</v>
      </c>
      <c r="F8" s="50">
        <f>E8-(Monthly!S6-Monthly!R6)-D8*Monthly!Q6</f>
        <v>45000</v>
      </c>
      <c r="G8" s="50">
        <f>E8*MAX(0,1-(MIN(MAX(Inputs!$B$33,0),60)/30))+E7*MAX(0,1-ABS((MIN(MAX(Inputs!$B$33,0),60)/30)-1))+0*MAX(0,(MIN(MAX(Inputs!$B$33,0),60)/30)-1)</f>
        <v>270000</v>
      </c>
      <c r="H8" s="50">
        <f>H7+G8-(Monthly!S6-Monthly!R6)-D8*Monthly!Q6-Monthly!X6-Monthly!Y6</f>
        <v>-23125000</v>
      </c>
      <c r="I8" s="47" t="str">
        <f t="shared" si="0"/>
        <v/>
      </c>
      <c r="K8" s="48">
        <f>IF($A8=0,0,IF(OR(Inputs!$B$38&lt;=1,$A8&gt;=Inputs!$B$38),$N$4,Inputs!$B$36+($N$4-Inputs!$B$36)*($A8-1)/(Inputs!$B$38-1)))</f>
        <v>0.25</v>
      </c>
      <c r="L8" s="49">
        <f>ROUNDDOWN(INT(Inputs!$B$7)*K8+0.000000001,0)</f>
        <v>50</v>
      </c>
      <c r="M8" s="50">
        <f>L8*Monthly!E6*$L$4</f>
        <v>600000</v>
      </c>
      <c r="N8" s="50">
        <f>M8-(Monthly!S6-Monthly!R6)-L8*Monthly!Q6</f>
        <v>105000</v>
      </c>
      <c r="O8" s="50">
        <f>M8*MAX(0,1-(MIN(MAX(Inputs!$B$33,0),60)/30))+M7*MAX(0,1-ABS((MIN(MAX(Inputs!$B$33,0),60)/30)-1))+0*MAX(0,(MIN(MAX(Inputs!$B$33,0),60)/30)-1)</f>
        <v>300000</v>
      </c>
      <c r="P8" s="50">
        <f>P7+O8-(Monthly!S6-Monthly!R6)-L8*Monthly!Q6-Monthly!X6-Monthly!Y6</f>
        <v>-23095000</v>
      </c>
      <c r="Q8" s="47" t="str">
        <f t="shared" si="1"/>
        <v/>
      </c>
      <c r="S8" s="48">
        <f>IF($A8=0,0,IF(OR(Inputs!$B$38&lt;=1,$A8&gt;=Inputs!$B$38),$V$4,Inputs!$B$36+($V$4-Inputs!$B$36)*($A8-1)/(Inputs!$B$38-1)))</f>
        <v>0.25</v>
      </c>
      <c r="T8" s="49">
        <f>ROUNDDOWN(INT(Inputs!$B$7)*S8+0.000000001,0)</f>
        <v>50</v>
      </c>
      <c r="U8" s="50">
        <f>T8*Monthly!E6*$T$4</f>
        <v>660000</v>
      </c>
      <c r="V8" s="50">
        <f>U8-(Monthly!S6-Monthly!R6)-T8*Monthly!Q6</f>
        <v>165000</v>
      </c>
      <c r="W8" s="50">
        <f>U8*MAX(0,1-(MIN(MAX(Inputs!$B$33,0),60)/30))+U7*MAX(0,1-ABS((MIN(MAX(Inputs!$B$33,0),60)/30)-1))+0*MAX(0,(MIN(MAX(Inputs!$B$33,0),60)/30)-1)</f>
        <v>330000</v>
      </c>
      <c r="X8" s="50">
        <f>X7+W8-(Monthly!S6-Monthly!R6)-T8*Monthly!Q6-Monthly!X6-Monthly!Y6</f>
        <v>-23065000</v>
      </c>
      <c r="Y8" s="47" t="str">
        <f t="shared" si="2"/>
        <v/>
      </c>
      <c r="AA8" s="48">
        <f>IF($A8=0,0,IF(OR(Inputs!$B$38&lt;=1,$A8&gt;=Inputs!$B$38),$AD$4,Inputs!$B$36+($AD$4-Inputs!$B$36)*($A8-1)/(Inputs!$B$38-1)))</f>
        <v>0.25</v>
      </c>
      <c r="AB8" s="49">
        <f>ROUNDDOWN(INT(Inputs!$B$7)*AA8+0.000000001,0)</f>
        <v>50</v>
      </c>
      <c r="AC8" s="50">
        <f>AB8*Monthly!E6*$AB$4</f>
        <v>540000</v>
      </c>
      <c r="AD8" s="50">
        <f>AC8-(Monthly!S6-Monthly!R6)-AB8*Monthly!Q6</f>
        <v>45000</v>
      </c>
      <c r="AE8" s="50">
        <f>AC8*MAX(0,1-(MIN(MAX(Inputs!$B$33,0),60)/30))+AC7*MAX(0,1-ABS((MIN(MAX(Inputs!$B$33,0),60)/30)-1))+0*MAX(0,(MIN(MAX(Inputs!$B$33,0),60)/30)-1)</f>
        <v>270000</v>
      </c>
      <c r="AF8" s="50">
        <f>AF7+AE8-(Monthly!S6-Monthly!R6)-AB8*Monthly!Q6-Monthly!X6-Monthly!Y6</f>
        <v>-23125000</v>
      </c>
      <c r="AG8" s="47" t="str">
        <f t="shared" si="3"/>
        <v/>
      </c>
      <c r="AI8" s="48">
        <f>IF($A8=0,0,IF(OR(Inputs!$B$38&lt;=1,$A8&gt;=Inputs!$B$38),$AL$4,Inputs!$B$36+($AL$4-Inputs!$B$36)*($A8-1)/(Inputs!$B$38-1)))</f>
        <v>0.25</v>
      </c>
      <c r="AJ8" s="49">
        <f>ROUNDDOWN(INT(Inputs!$B$7)*AI8+0.000000001,0)</f>
        <v>50</v>
      </c>
      <c r="AK8" s="50">
        <f>AJ8*Monthly!E6*$AJ$4</f>
        <v>600000</v>
      </c>
      <c r="AL8" s="50">
        <f>AK8-(Monthly!S6-Monthly!R6)-AJ8*Monthly!Q6</f>
        <v>105000</v>
      </c>
      <c r="AM8" s="50">
        <f>AK8*MAX(0,1-(MIN(MAX(Inputs!$B$33,0),60)/30))+AK7*MAX(0,1-ABS((MIN(MAX(Inputs!$B$33,0),60)/30)-1))+0*MAX(0,(MIN(MAX(Inputs!$B$33,0),60)/30)-1)</f>
        <v>300000</v>
      </c>
      <c r="AN8" s="50">
        <f>AN7+AM8-(Monthly!S6-Monthly!R6)-AJ8*Monthly!Q6-Monthly!X6-Monthly!Y6</f>
        <v>-23095000</v>
      </c>
      <c r="AO8" s="47" t="str">
        <f t="shared" si="4"/>
        <v/>
      </c>
      <c r="AQ8" s="48">
        <f>IF($A8=0,0,IF(OR(Inputs!$B$38&lt;=1,$A8&gt;=Inputs!$B$38),$AT$4,Inputs!$B$36+($AT$4-Inputs!$B$36)*($A8-1)/(Inputs!$B$38-1)))</f>
        <v>0.25</v>
      </c>
      <c r="AR8" s="49">
        <f>ROUNDDOWN(INT(Inputs!$B$7)*AQ8+0.000000001,0)</f>
        <v>50</v>
      </c>
      <c r="AS8" s="50">
        <f>AR8*Monthly!E6*$AR$4</f>
        <v>660000</v>
      </c>
      <c r="AT8" s="50">
        <f>AS8-(Monthly!S6-Monthly!R6)-AR8*Monthly!Q6</f>
        <v>165000</v>
      </c>
      <c r="AU8" s="50">
        <f>AS8*MAX(0,1-(MIN(MAX(Inputs!$B$33,0),60)/30))+AS7*MAX(0,1-ABS((MIN(MAX(Inputs!$B$33,0),60)/30)-1))+0*MAX(0,(MIN(MAX(Inputs!$B$33,0),60)/30)-1)</f>
        <v>330000</v>
      </c>
      <c r="AV8" s="50">
        <f>AV7+AU8-(Monthly!S6-Monthly!R6)-AR8*Monthly!Q6-Monthly!X6-Monthly!Y6</f>
        <v>-23065000</v>
      </c>
      <c r="AW8" s="47" t="str">
        <f t="shared" si="5"/>
        <v/>
      </c>
      <c r="AY8" s="48">
        <f>IF($A8=0,0,IF(OR(Inputs!$B$38&lt;=1,$A8&gt;=Inputs!$B$38),$BB$4,Inputs!$B$36+($BB$4-Inputs!$B$36)*($A8-1)/(Inputs!$B$38-1)))</f>
        <v>0.25</v>
      </c>
      <c r="AZ8" s="49">
        <f>ROUNDDOWN(INT(Inputs!$B$7)*AY8+0.000000001,0)</f>
        <v>50</v>
      </c>
      <c r="BA8" s="50">
        <f>AZ8*Monthly!E6*$AZ$4</f>
        <v>540000</v>
      </c>
      <c r="BB8" s="50">
        <f>BA8-(Monthly!S6-Monthly!R6)-AZ8*Monthly!Q6</f>
        <v>45000</v>
      </c>
      <c r="BC8" s="50">
        <f>BA8*MAX(0,1-(MIN(MAX(Inputs!$B$33,0),60)/30))+BA7*MAX(0,1-ABS((MIN(MAX(Inputs!$B$33,0),60)/30)-1))+0*MAX(0,(MIN(MAX(Inputs!$B$33,0),60)/30)-1)</f>
        <v>270000</v>
      </c>
      <c r="BD8" s="50">
        <f>BD7+BC8-(Monthly!S6-Monthly!R6)-AZ8*Monthly!Q6-Monthly!X6-Monthly!Y6</f>
        <v>-23125000</v>
      </c>
      <c r="BE8" s="47" t="str">
        <f t="shared" si="6"/>
        <v/>
      </c>
      <c r="BG8" s="48">
        <f>IF($A8=0,0,IF(OR(Inputs!$B$38&lt;=1,$A8&gt;=Inputs!$B$38),$BJ$4,Inputs!$B$36+($BJ$4-Inputs!$B$36)*($A8-1)/(Inputs!$B$38-1)))</f>
        <v>0.25</v>
      </c>
      <c r="BH8" s="49">
        <f>ROUNDDOWN(INT(Inputs!$B$7)*BG8+0.000000001,0)</f>
        <v>50</v>
      </c>
      <c r="BI8" s="50">
        <f>BH8*Monthly!E6*$BH$4</f>
        <v>600000</v>
      </c>
      <c r="BJ8" s="50">
        <f>BI8-(Monthly!S6-Monthly!R6)-BH8*Monthly!Q6</f>
        <v>105000</v>
      </c>
      <c r="BK8" s="50">
        <f>BI8*MAX(0,1-(MIN(MAX(Inputs!$B$33,0),60)/30))+BI7*MAX(0,1-ABS((MIN(MAX(Inputs!$B$33,0),60)/30)-1))+0*MAX(0,(MIN(MAX(Inputs!$B$33,0),60)/30)-1)</f>
        <v>300000</v>
      </c>
      <c r="BL8" s="50">
        <f>BL7+BK8-(Monthly!S6-Monthly!R6)-BH8*Monthly!Q6-Monthly!X6-Monthly!Y6</f>
        <v>-23095000</v>
      </c>
      <c r="BM8" s="47" t="str">
        <f t="shared" si="7"/>
        <v/>
      </c>
      <c r="BO8" s="48">
        <f>IF($A8=0,0,IF(OR(Inputs!$B$38&lt;=1,$A8&gt;=Inputs!$B$38),$BR$4,Inputs!$B$36+($BR$4-Inputs!$B$36)*($A8-1)/(Inputs!$B$38-1)))</f>
        <v>0.25</v>
      </c>
      <c r="BP8" s="49">
        <f>ROUNDDOWN(INT(Inputs!$B$7)*BO8+0.000000001,0)</f>
        <v>50</v>
      </c>
      <c r="BQ8" s="50">
        <f>BP8*Monthly!E6*$BP$4</f>
        <v>660000</v>
      </c>
      <c r="BR8" s="50">
        <f>BQ8-(Monthly!S6-Monthly!R6)-BP8*Monthly!Q6</f>
        <v>165000</v>
      </c>
      <c r="BS8" s="50">
        <f>BQ8*MAX(0,1-(MIN(MAX(Inputs!$B$33,0),60)/30))+BQ7*MAX(0,1-ABS((MIN(MAX(Inputs!$B$33,0),60)/30)-1))+0*MAX(0,(MIN(MAX(Inputs!$B$33,0),60)/30)-1)</f>
        <v>330000</v>
      </c>
      <c r="BT8" s="50">
        <f>BT7+BS8-(Monthly!S6-Monthly!R6)-BP8*Monthly!Q6-Monthly!X6-Monthly!Y6</f>
        <v>-23065000</v>
      </c>
      <c r="BU8" s="47" t="str">
        <f t="shared" si="8"/>
        <v/>
      </c>
    </row>
    <row r="9" spans="1:73" x14ac:dyDescent="0.2">
      <c r="A9" s="56">
        <f>Monthly!A7</f>
        <v>2</v>
      </c>
      <c r="B9" s="56">
        <f>Monthly!B7</f>
        <v>1</v>
      </c>
      <c r="C9" s="48">
        <f>IF($A9=0,0,IF(OR(Inputs!$B$38&lt;=1,$A9&gt;=Inputs!$B$38),$F$4,Inputs!$B$36+($F$4-Inputs!$B$36)*($A9-1)/(Inputs!$B$38-1)))</f>
        <v>0.29545454545454547</v>
      </c>
      <c r="D9" s="49">
        <f>ROUNDDOWN(INT(Inputs!$B$7)*C9+0.000000001,0)</f>
        <v>59</v>
      </c>
      <c r="E9" s="50">
        <f>D9*Monthly!E7*$D$4</f>
        <v>637200</v>
      </c>
      <c r="F9" s="50">
        <f>E9-(Monthly!S7-Monthly!R7)-D9*Monthly!Q7</f>
        <v>128700</v>
      </c>
      <c r="G9" s="50">
        <f>E9*MAX(0,1-(MIN(MAX(Inputs!$B$33,0),60)/30))+E8*MAX(0,1-ABS((MIN(MAX(Inputs!$B$33,0),60)/30)-1))+E7*MAX(0,(MIN(MAX(Inputs!$B$33,0),60)/30)-1)</f>
        <v>588600</v>
      </c>
      <c r="H9" s="50">
        <f>H8+G9-(Monthly!S7-Monthly!R7)-D9*Monthly!Q7-Monthly!X7-Monthly!Y7</f>
        <v>-23044900</v>
      </c>
      <c r="I9" s="47" t="str">
        <f t="shared" si="0"/>
        <v/>
      </c>
      <c r="K9" s="48">
        <f>IF($A9=0,0,IF(OR(Inputs!$B$38&lt;=1,$A9&gt;=Inputs!$B$38),$N$4,Inputs!$B$36+($N$4-Inputs!$B$36)*($A9-1)/(Inputs!$B$38-1)))</f>
        <v>0.29545454545454547</v>
      </c>
      <c r="L9" s="49">
        <f>ROUNDDOWN(INT(Inputs!$B$7)*K9+0.000000001,0)</f>
        <v>59</v>
      </c>
      <c r="M9" s="50">
        <f>L9*Monthly!E7*$L$4</f>
        <v>708000</v>
      </c>
      <c r="N9" s="50">
        <f>M9-(Monthly!S7-Monthly!R7)-L9*Monthly!Q7</f>
        <v>199500</v>
      </c>
      <c r="O9" s="50">
        <f>M9*MAX(0,1-(MIN(MAX(Inputs!$B$33,0),60)/30))+M8*MAX(0,1-ABS((MIN(MAX(Inputs!$B$33,0),60)/30)-1))+M7*MAX(0,(MIN(MAX(Inputs!$B$33,0),60)/30)-1)</f>
        <v>654000</v>
      </c>
      <c r="P9" s="50">
        <f>P8+O9-(Monthly!S7-Monthly!R7)-L9*Monthly!Q7-Monthly!X7-Monthly!Y7</f>
        <v>-22949500</v>
      </c>
      <c r="Q9" s="47" t="str">
        <f t="shared" si="1"/>
        <v/>
      </c>
      <c r="S9" s="48">
        <f>IF($A9=0,0,IF(OR(Inputs!$B$38&lt;=1,$A9&gt;=Inputs!$B$38),$V$4,Inputs!$B$36+($V$4-Inputs!$B$36)*($A9-1)/(Inputs!$B$38-1)))</f>
        <v>0.29545454545454547</v>
      </c>
      <c r="T9" s="49">
        <f>ROUNDDOWN(INT(Inputs!$B$7)*S9+0.000000001,0)</f>
        <v>59</v>
      </c>
      <c r="U9" s="50">
        <f>T9*Monthly!E7*$T$4</f>
        <v>778800.00000000012</v>
      </c>
      <c r="V9" s="50">
        <f>U9-(Monthly!S7-Monthly!R7)-T9*Monthly!Q7</f>
        <v>270300.00000000012</v>
      </c>
      <c r="W9" s="50">
        <f>U9*MAX(0,1-(MIN(MAX(Inputs!$B$33,0),60)/30))+U8*MAX(0,1-ABS((MIN(MAX(Inputs!$B$33,0),60)/30)-1))+U7*MAX(0,(MIN(MAX(Inputs!$B$33,0),60)/30)-1)</f>
        <v>719400</v>
      </c>
      <c r="X9" s="50">
        <f>X8+W9-(Monthly!S7-Monthly!R7)-T9*Monthly!Q7-Monthly!X7-Monthly!Y7</f>
        <v>-22854100</v>
      </c>
      <c r="Y9" s="47" t="str">
        <f t="shared" si="2"/>
        <v/>
      </c>
      <c r="AA9" s="48">
        <f>IF($A9=0,0,IF(OR(Inputs!$B$38&lt;=1,$A9&gt;=Inputs!$B$38),$AD$4,Inputs!$B$36+($AD$4-Inputs!$B$36)*($A9-1)/(Inputs!$B$38-1)))</f>
        <v>0.30454545454545456</v>
      </c>
      <c r="AB9" s="49">
        <f>ROUNDDOWN(INT(Inputs!$B$7)*AA9+0.000000001,0)</f>
        <v>60</v>
      </c>
      <c r="AC9" s="50">
        <f>AB9*Monthly!E7*$AB$4</f>
        <v>648000</v>
      </c>
      <c r="AD9" s="50">
        <f>AC9-(Monthly!S7-Monthly!R7)-AB9*Monthly!Q7</f>
        <v>138000</v>
      </c>
      <c r="AE9" s="50">
        <f>AC9*MAX(0,1-(MIN(MAX(Inputs!$B$33,0),60)/30))+AC8*MAX(0,1-ABS((MIN(MAX(Inputs!$B$33,0),60)/30)-1))+AC7*MAX(0,(MIN(MAX(Inputs!$B$33,0),60)/30)-1)</f>
        <v>594000</v>
      </c>
      <c r="AF9" s="50">
        <f>AF8+AE9-(Monthly!S7-Monthly!R7)-AB9*Monthly!Q7-Monthly!X7-Monthly!Y7</f>
        <v>-23041000</v>
      </c>
      <c r="AG9" s="47" t="str">
        <f t="shared" si="3"/>
        <v/>
      </c>
      <c r="AI9" s="48">
        <f>IF($A9=0,0,IF(OR(Inputs!$B$38&lt;=1,$A9&gt;=Inputs!$B$38),$AL$4,Inputs!$B$36+($AL$4-Inputs!$B$36)*($A9-1)/(Inputs!$B$38-1)))</f>
        <v>0.30454545454545456</v>
      </c>
      <c r="AJ9" s="49">
        <f>ROUNDDOWN(INT(Inputs!$B$7)*AI9+0.000000001,0)</f>
        <v>60</v>
      </c>
      <c r="AK9" s="50">
        <f>AJ9*Monthly!E7*$AJ$4</f>
        <v>720000</v>
      </c>
      <c r="AL9" s="50">
        <f>AK9-(Monthly!S7-Monthly!R7)-AJ9*Monthly!Q7</f>
        <v>210000</v>
      </c>
      <c r="AM9" s="50">
        <f>AK9*MAX(0,1-(MIN(MAX(Inputs!$B$33,0),60)/30))+AK8*MAX(0,1-ABS((MIN(MAX(Inputs!$B$33,0),60)/30)-1))+AK7*MAX(0,(MIN(MAX(Inputs!$B$33,0),60)/30)-1)</f>
        <v>660000</v>
      </c>
      <c r="AN9" s="50">
        <f>AN8+AM9-(Monthly!S7-Monthly!R7)-AJ9*Monthly!Q7-Monthly!X7-Monthly!Y7</f>
        <v>-22945000</v>
      </c>
      <c r="AO9" s="47" t="str">
        <f t="shared" si="4"/>
        <v/>
      </c>
      <c r="AQ9" s="48">
        <f>IF($A9=0,0,IF(OR(Inputs!$B$38&lt;=1,$A9&gt;=Inputs!$B$38),$AT$4,Inputs!$B$36+($AT$4-Inputs!$B$36)*($A9-1)/(Inputs!$B$38-1)))</f>
        <v>0.30454545454545456</v>
      </c>
      <c r="AR9" s="49">
        <f>ROUNDDOWN(INT(Inputs!$B$7)*AQ9+0.000000001,0)</f>
        <v>60</v>
      </c>
      <c r="AS9" s="50">
        <f>AR9*Monthly!E7*$AR$4</f>
        <v>792000.00000000012</v>
      </c>
      <c r="AT9" s="50">
        <f>AS9-(Monthly!S7-Monthly!R7)-AR9*Monthly!Q7</f>
        <v>282000.00000000012</v>
      </c>
      <c r="AU9" s="50">
        <f>AS9*MAX(0,1-(MIN(MAX(Inputs!$B$33,0),60)/30))+AS8*MAX(0,1-ABS((MIN(MAX(Inputs!$B$33,0),60)/30)-1))+AS7*MAX(0,(MIN(MAX(Inputs!$B$33,0),60)/30)-1)</f>
        <v>726000</v>
      </c>
      <c r="AV9" s="50">
        <f>AV8+AU9-(Monthly!S7-Monthly!R7)-AR9*Monthly!Q7-Monthly!X7-Monthly!Y7</f>
        <v>-22849000</v>
      </c>
      <c r="AW9" s="47" t="str">
        <f t="shared" si="5"/>
        <v/>
      </c>
      <c r="AY9" s="48">
        <f>IF($A9=0,0,IF(OR(Inputs!$B$38&lt;=1,$A9&gt;=Inputs!$B$38),$BB$4,Inputs!$B$36+($BB$4-Inputs!$B$36)*($A9-1)/(Inputs!$B$38-1)))</f>
        <v>0.3136363636363636</v>
      </c>
      <c r="AZ9" s="49">
        <f>ROUNDDOWN(INT(Inputs!$B$7)*AY9+0.000000001,0)</f>
        <v>62</v>
      </c>
      <c r="BA9" s="50">
        <f>AZ9*Monthly!E7*$AZ$4</f>
        <v>669600</v>
      </c>
      <c r="BB9" s="50">
        <f>BA9-(Monthly!S7-Monthly!R7)-AZ9*Monthly!Q7</f>
        <v>156600</v>
      </c>
      <c r="BC9" s="50">
        <f>BA9*MAX(0,1-(MIN(MAX(Inputs!$B$33,0),60)/30))+BA8*MAX(0,1-ABS((MIN(MAX(Inputs!$B$33,0),60)/30)-1))+BA7*MAX(0,(MIN(MAX(Inputs!$B$33,0),60)/30)-1)</f>
        <v>604800</v>
      </c>
      <c r="BD9" s="50">
        <f>BD8+BC9-(Monthly!S7-Monthly!R7)-AZ9*Monthly!Q7-Monthly!X7-Monthly!Y7</f>
        <v>-23033200</v>
      </c>
      <c r="BE9" s="47" t="str">
        <f t="shared" si="6"/>
        <v/>
      </c>
      <c r="BG9" s="48">
        <f>IF($A9=0,0,IF(OR(Inputs!$B$38&lt;=1,$A9&gt;=Inputs!$B$38),$BJ$4,Inputs!$B$36+($BJ$4-Inputs!$B$36)*($A9-1)/(Inputs!$B$38-1)))</f>
        <v>0.3136363636363636</v>
      </c>
      <c r="BH9" s="49">
        <f>ROUNDDOWN(INT(Inputs!$B$7)*BG9+0.000000001,0)</f>
        <v>62</v>
      </c>
      <c r="BI9" s="50">
        <f>BH9*Monthly!E7*$BH$4</f>
        <v>744000</v>
      </c>
      <c r="BJ9" s="50">
        <f>BI9-(Monthly!S7-Monthly!R7)-BH9*Monthly!Q7</f>
        <v>231000</v>
      </c>
      <c r="BK9" s="50">
        <f>BI9*MAX(0,1-(MIN(MAX(Inputs!$B$33,0),60)/30))+BI8*MAX(0,1-ABS((MIN(MAX(Inputs!$B$33,0),60)/30)-1))+BI7*MAX(0,(MIN(MAX(Inputs!$B$33,0),60)/30)-1)</f>
        <v>672000</v>
      </c>
      <c r="BL9" s="50">
        <f>BL8+BK9-(Monthly!S7-Monthly!R7)-BH9*Monthly!Q7-Monthly!X7-Monthly!Y7</f>
        <v>-22936000</v>
      </c>
      <c r="BM9" s="47" t="str">
        <f t="shared" si="7"/>
        <v/>
      </c>
      <c r="BO9" s="48">
        <f>IF($A9=0,0,IF(OR(Inputs!$B$38&lt;=1,$A9&gt;=Inputs!$B$38),$BR$4,Inputs!$B$36+($BR$4-Inputs!$B$36)*($A9-1)/(Inputs!$B$38-1)))</f>
        <v>0.3136363636363636</v>
      </c>
      <c r="BP9" s="49">
        <f>ROUNDDOWN(INT(Inputs!$B$7)*BO9+0.000000001,0)</f>
        <v>62</v>
      </c>
      <c r="BQ9" s="50">
        <f>BP9*Monthly!E7*$BP$4</f>
        <v>818400.00000000012</v>
      </c>
      <c r="BR9" s="50">
        <f>BQ9-(Monthly!S7-Monthly!R7)-BP9*Monthly!Q7</f>
        <v>305400.00000000012</v>
      </c>
      <c r="BS9" s="50">
        <f>BQ9*MAX(0,1-(MIN(MAX(Inputs!$B$33,0),60)/30))+BQ8*MAX(0,1-ABS((MIN(MAX(Inputs!$B$33,0),60)/30)-1))+BQ7*MAX(0,(MIN(MAX(Inputs!$B$33,0),60)/30)-1)</f>
        <v>739200</v>
      </c>
      <c r="BT9" s="50">
        <f>BT8+BS9-(Monthly!S7-Monthly!R7)-BP9*Monthly!Q7-Monthly!X7-Monthly!Y7</f>
        <v>-22838800</v>
      </c>
      <c r="BU9" s="47" t="str">
        <f t="shared" si="8"/>
        <v/>
      </c>
    </row>
    <row r="10" spans="1:73" x14ac:dyDescent="0.2">
      <c r="A10" s="56">
        <f>Monthly!A8</f>
        <v>3</v>
      </c>
      <c r="B10" s="56">
        <f>Monthly!B8</f>
        <v>1</v>
      </c>
      <c r="C10" s="48">
        <f>IF($A10=0,0,IF(OR(Inputs!$B$38&lt;=1,$A10&gt;=Inputs!$B$38),$F$4,Inputs!$B$36+($F$4-Inputs!$B$36)*($A10-1)/(Inputs!$B$38-1)))</f>
        <v>0.34090909090909094</v>
      </c>
      <c r="D10" s="49">
        <f>ROUNDDOWN(INT(Inputs!$B$7)*C10+0.000000001,0)</f>
        <v>68</v>
      </c>
      <c r="E10" s="50">
        <f>D10*Monthly!E8*$D$4</f>
        <v>734400</v>
      </c>
      <c r="F10" s="50">
        <f>E10-(Monthly!S8-Monthly!R8)-D10*Monthly!Q8</f>
        <v>-437600</v>
      </c>
      <c r="G10" s="50">
        <f>E10*MAX(0,1-(MIN(MAX(Inputs!$B$33,0),60)/30))+E9*MAX(0,1-ABS((MIN(MAX(Inputs!$B$33,0),60)/30)-1))+E8*MAX(0,(MIN(MAX(Inputs!$B$33,0),60)/30)-1)</f>
        <v>685800</v>
      </c>
      <c r="H10" s="50">
        <f>H9+G10-(Monthly!S8-Monthly!R8)-D10*Monthly!Q8-Monthly!X8-Monthly!Y8</f>
        <v>-23531100</v>
      </c>
      <c r="I10" s="47" t="str">
        <f t="shared" si="0"/>
        <v/>
      </c>
      <c r="K10" s="48">
        <f>IF($A10=0,0,IF(OR(Inputs!$B$38&lt;=1,$A10&gt;=Inputs!$B$38),$N$4,Inputs!$B$36+($N$4-Inputs!$B$36)*($A10-1)/(Inputs!$B$38-1)))</f>
        <v>0.34090909090909094</v>
      </c>
      <c r="L10" s="49">
        <f>ROUNDDOWN(INT(Inputs!$B$7)*K10+0.000000001,0)</f>
        <v>68</v>
      </c>
      <c r="M10" s="50">
        <f>L10*Monthly!E8*$L$4</f>
        <v>816000</v>
      </c>
      <c r="N10" s="50">
        <f>M10-(Monthly!S8-Monthly!R8)-L10*Monthly!Q8</f>
        <v>-356000</v>
      </c>
      <c r="O10" s="50">
        <f>M10*MAX(0,1-(MIN(MAX(Inputs!$B$33,0),60)/30))+M9*MAX(0,1-ABS((MIN(MAX(Inputs!$B$33,0),60)/30)-1))+M8*MAX(0,(MIN(MAX(Inputs!$B$33,0),60)/30)-1)</f>
        <v>762000</v>
      </c>
      <c r="P10" s="50">
        <f>P9+O10-(Monthly!S8-Monthly!R8)-L10*Monthly!Q8-Monthly!X8-Monthly!Y8</f>
        <v>-23359500</v>
      </c>
      <c r="Q10" s="47" t="str">
        <f t="shared" si="1"/>
        <v/>
      </c>
      <c r="S10" s="48">
        <f>IF($A10=0,0,IF(OR(Inputs!$B$38&lt;=1,$A10&gt;=Inputs!$B$38),$V$4,Inputs!$B$36+($V$4-Inputs!$B$36)*($A10-1)/(Inputs!$B$38-1)))</f>
        <v>0.34090909090909094</v>
      </c>
      <c r="T10" s="49">
        <f>ROUNDDOWN(INT(Inputs!$B$7)*S10+0.000000001,0)</f>
        <v>68</v>
      </c>
      <c r="U10" s="50">
        <f>T10*Monthly!E8*$T$4</f>
        <v>897600.00000000012</v>
      </c>
      <c r="V10" s="50">
        <f>U10-(Monthly!S8-Monthly!R8)-T10*Monthly!Q8</f>
        <v>-274399.99999999988</v>
      </c>
      <c r="W10" s="50">
        <f>U10*MAX(0,1-(MIN(MAX(Inputs!$B$33,0),60)/30))+U9*MAX(0,1-ABS((MIN(MAX(Inputs!$B$33,0),60)/30)-1))+U8*MAX(0,(MIN(MAX(Inputs!$B$33,0),60)/30)-1)</f>
        <v>838200.00000000012</v>
      </c>
      <c r="X10" s="50">
        <f>X9+W10-(Monthly!S8-Monthly!R8)-T10*Monthly!Q8-Monthly!X8-Monthly!Y8</f>
        <v>-23187900</v>
      </c>
      <c r="Y10" s="47" t="str">
        <f t="shared" si="2"/>
        <v/>
      </c>
      <c r="AA10" s="48">
        <f>IF($A10=0,0,IF(OR(Inputs!$B$38&lt;=1,$A10&gt;=Inputs!$B$38),$AD$4,Inputs!$B$36+($AD$4-Inputs!$B$36)*($A10-1)/(Inputs!$B$38-1)))</f>
        <v>0.35909090909090907</v>
      </c>
      <c r="AB10" s="49">
        <f>ROUNDDOWN(INT(Inputs!$B$7)*AA10+0.000000001,0)</f>
        <v>71</v>
      </c>
      <c r="AC10" s="50">
        <f>AB10*Monthly!E8*$AB$4</f>
        <v>766800</v>
      </c>
      <c r="AD10" s="50">
        <f>AC10-(Monthly!S8-Monthly!R8)-AB10*Monthly!Q8</f>
        <v>-409700</v>
      </c>
      <c r="AE10" s="50">
        <f>AC10*MAX(0,1-(MIN(MAX(Inputs!$B$33,0),60)/30))+AC9*MAX(0,1-ABS((MIN(MAX(Inputs!$B$33,0),60)/30)-1))+AC8*MAX(0,(MIN(MAX(Inputs!$B$33,0),60)/30)-1)</f>
        <v>707400</v>
      </c>
      <c r="AF10" s="50">
        <f>AF9+AE10-(Monthly!S8-Monthly!R8)-AB10*Monthly!Q8-Monthly!X8-Monthly!Y8</f>
        <v>-23510100</v>
      </c>
      <c r="AG10" s="47" t="str">
        <f t="shared" si="3"/>
        <v/>
      </c>
      <c r="AI10" s="48">
        <f>IF($A10=0,0,IF(OR(Inputs!$B$38&lt;=1,$A10&gt;=Inputs!$B$38),$AL$4,Inputs!$B$36+($AL$4-Inputs!$B$36)*($A10-1)/(Inputs!$B$38-1)))</f>
        <v>0.35909090909090907</v>
      </c>
      <c r="AJ10" s="49">
        <f>ROUNDDOWN(INT(Inputs!$B$7)*AI10+0.000000001,0)</f>
        <v>71</v>
      </c>
      <c r="AK10" s="50">
        <f>AJ10*Monthly!E8*$AJ$4</f>
        <v>852000</v>
      </c>
      <c r="AL10" s="50">
        <f>AK10-(Monthly!S8-Monthly!R8)-AJ10*Monthly!Q8</f>
        <v>-324500</v>
      </c>
      <c r="AM10" s="50">
        <f>AK10*MAX(0,1-(MIN(MAX(Inputs!$B$33,0),60)/30))+AK9*MAX(0,1-ABS((MIN(MAX(Inputs!$B$33,0),60)/30)-1))+AK8*MAX(0,(MIN(MAX(Inputs!$B$33,0),60)/30)-1)</f>
        <v>786000</v>
      </c>
      <c r="AN10" s="50">
        <f>AN9+AM10-(Monthly!S8-Monthly!R8)-AJ10*Monthly!Q8-Monthly!X8-Monthly!Y8</f>
        <v>-23335500</v>
      </c>
      <c r="AO10" s="47" t="str">
        <f t="shared" si="4"/>
        <v/>
      </c>
      <c r="AQ10" s="48">
        <f>IF($A10=0,0,IF(OR(Inputs!$B$38&lt;=1,$A10&gt;=Inputs!$B$38),$AT$4,Inputs!$B$36+($AT$4-Inputs!$B$36)*($A10-1)/(Inputs!$B$38-1)))</f>
        <v>0.35909090909090907</v>
      </c>
      <c r="AR10" s="49">
        <f>ROUNDDOWN(INT(Inputs!$B$7)*AQ10+0.000000001,0)</f>
        <v>71</v>
      </c>
      <c r="AS10" s="50">
        <f>AR10*Monthly!E8*$AR$4</f>
        <v>937200.00000000012</v>
      </c>
      <c r="AT10" s="50">
        <f>AS10-(Monthly!S8-Monthly!R8)-AR10*Monthly!Q8</f>
        <v>-239299.99999999988</v>
      </c>
      <c r="AU10" s="50">
        <f>AS10*MAX(0,1-(MIN(MAX(Inputs!$B$33,0),60)/30))+AS9*MAX(0,1-ABS((MIN(MAX(Inputs!$B$33,0),60)/30)-1))+AS8*MAX(0,(MIN(MAX(Inputs!$B$33,0),60)/30)-1)</f>
        <v>864600.00000000012</v>
      </c>
      <c r="AV10" s="50">
        <f>AV9+AU10-(Monthly!S8-Monthly!R8)-AR10*Monthly!Q8-Monthly!X8-Monthly!Y8</f>
        <v>-23160900</v>
      </c>
      <c r="AW10" s="47" t="str">
        <f t="shared" si="5"/>
        <v/>
      </c>
      <c r="AY10" s="48">
        <f>IF($A10=0,0,IF(OR(Inputs!$B$38&lt;=1,$A10&gt;=Inputs!$B$38),$BB$4,Inputs!$B$36+($BB$4-Inputs!$B$36)*($A10-1)/(Inputs!$B$38-1)))</f>
        <v>0.37727272727272726</v>
      </c>
      <c r="AZ10" s="49">
        <f>ROUNDDOWN(INT(Inputs!$B$7)*AY10+0.000000001,0)</f>
        <v>75</v>
      </c>
      <c r="BA10" s="50">
        <f>AZ10*Monthly!E8*$AZ$4</f>
        <v>810000</v>
      </c>
      <c r="BB10" s="50">
        <f>BA10-(Monthly!S8-Monthly!R8)-AZ10*Monthly!Q8</f>
        <v>-372500</v>
      </c>
      <c r="BC10" s="50">
        <f>BA10*MAX(0,1-(MIN(MAX(Inputs!$B$33,0),60)/30))+BA9*MAX(0,1-ABS((MIN(MAX(Inputs!$B$33,0),60)/30)-1))+BA8*MAX(0,(MIN(MAX(Inputs!$B$33,0),60)/30)-1)</f>
        <v>739800</v>
      </c>
      <c r="BD10" s="50">
        <f>BD9+BC10-(Monthly!S8-Monthly!R8)-AZ10*Monthly!Q8-Monthly!X8-Monthly!Y8</f>
        <v>-23475900</v>
      </c>
      <c r="BE10" s="47" t="str">
        <f t="shared" si="6"/>
        <v/>
      </c>
      <c r="BG10" s="48">
        <f>IF($A10=0,0,IF(OR(Inputs!$B$38&lt;=1,$A10&gt;=Inputs!$B$38),$BJ$4,Inputs!$B$36+($BJ$4-Inputs!$B$36)*($A10-1)/(Inputs!$B$38-1)))</f>
        <v>0.37727272727272726</v>
      </c>
      <c r="BH10" s="49">
        <f>ROUNDDOWN(INT(Inputs!$B$7)*BG10+0.000000001,0)</f>
        <v>75</v>
      </c>
      <c r="BI10" s="50">
        <f>BH10*Monthly!E8*$BH$4</f>
        <v>900000</v>
      </c>
      <c r="BJ10" s="50">
        <f>BI10-(Monthly!S8-Monthly!R8)-BH10*Monthly!Q8</f>
        <v>-282500</v>
      </c>
      <c r="BK10" s="50">
        <f>BI10*MAX(0,1-(MIN(MAX(Inputs!$B$33,0),60)/30))+BI9*MAX(0,1-ABS((MIN(MAX(Inputs!$B$33,0),60)/30)-1))+BI8*MAX(0,(MIN(MAX(Inputs!$B$33,0),60)/30)-1)</f>
        <v>822000</v>
      </c>
      <c r="BL10" s="50">
        <f>BL9+BK10-(Monthly!S8-Monthly!R8)-BH10*Monthly!Q8-Monthly!X8-Monthly!Y8</f>
        <v>-23296500</v>
      </c>
      <c r="BM10" s="47" t="str">
        <f t="shared" si="7"/>
        <v/>
      </c>
      <c r="BO10" s="48">
        <f>IF($A10=0,0,IF(OR(Inputs!$B$38&lt;=1,$A10&gt;=Inputs!$B$38),$BR$4,Inputs!$B$36+($BR$4-Inputs!$B$36)*($A10-1)/(Inputs!$B$38-1)))</f>
        <v>0.37727272727272726</v>
      </c>
      <c r="BP10" s="49">
        <f>ROUNDDOWN(INT(Inputs!$B$7)*BO10+0.000000001,0)</f>
        <v>75</v>
      </c>
      <c r="BQ10" s="50">
        <f>BP10*Monthly!E8*$BP$4</f>
        <v>990000.00000000012</v>
      </c>
      <c r="BR10" s="50">
        <f>BQ10-(Monthly!S8-Monthly!R8)-BP10*Monthly!Q8</f>
        <v>-192499.99999999988</v>
      </c>
      <c r="BS10" s="50">
        <f>BQ10*MAX(0,1-(MIN(MAX(Inputs!$B$33,0),60)/30))+BQ9*MAX(0,1-ABS((MIN(MAX(Inputs!$B$33,0),60)/30)-1))+BQ8*MAX(0,(MIN(MAX(Inputs!$B$33,0),60)/30)-1)</f>
        <v>904200.00000000012</v>
      </c>
      <c r="BT10" s="50">
        <f>BT9+BS10-(Monthly!S8-Monthly!R8)-BP10*Monthly!Q8-Monthly!X8-Monthly!Y8</f>
        <v>-23117100</v>
      </c>
      <c r="BU10" s="47" t="str">
        <f t="shared" si="8"/>
        <v/>
      </c>
    </row>
    <row r="11" spans="1:73" x14ac:dyDescent="0.2">
      <c r="A11" s="56">
        <f>Monthly!A9</f>
        <v>4</v>
      </c>
      <c r="B11" s="56">
        <f>Monthly!B9</f>
        <v>1</v>
      </c>
      <c r="C11" s="48">
        <f>IF($A11=0,0,IF(OR(Inputs!$B$38&lt;=1,$A11&gt;=Inputs!$B$38),$F$4,Inputs!$B$36+($F$4-Inputs!$B$36)*($A11-1)/(Inputs!$B$38-1)))</f>
        <v>0.38636363636363635</v>
      </c>
      <c r="D11" s="49">
        <f>ROUNDDOWN(INT(Inputs!$B$7)*C11+0.000000001,0)</f>
        <v>77</v>
      </c>
      <c r="E11" s="50">
        <f>D11*Monthly!E9*$D$4</f>
        <v>831600</v>
      </c>
      <c r="F11" s="50">
        <f>E11-(Monthly!S9-Monthly!R9)-D11*Monthly!Q9</f>
        <v>-353900</v>
      </c>
      <c r="G11" s="50">
        <f>E11*MAX(0,1-(MIN(MAX(Inputs!$B$33,0),60)/30))+E10*MAX(0,1-ABS((MIN(MAX(Inputs!$B$33,0),60)/30)-1))+E9*MAX(0,(MIN(MAX(Inputs!$B$33,0),60)/30)-1)</f>
        <v>783000</v>
      </c>
      <c r="H11" s="50">
        <f>H10+G11-(Monthly!S9-Monthly!R9)-D11*Monthly!Q9-Monthly!X9-Monthly!Y9</f>
        <v>-23933600</v>
      </c>
      <c r="I11" s="47" t="str">
        <f t="shared" si="0"/>
        <v/>
      </c>
      <c r="K11" s="48">
        <f>IF($A11=0,0,IF(OR(Inputs!$B$38&lt;=1,$A11&gt;=Inputs!$B$38),$N$4,Inputs!$B$36+($N$4-Inputs!$B$36)*($A11-1)/(Inputs!$B$38-1)))</f>
        <v>0.38636363636363635</v>
      </c>
      <c r="L11" s="49">
        <f>ROUNDDOWN(INT(Inputs!$B$7)*K11+0.000000001,0)</f>
        <v>77</v>
      </c>
      <c r="M11" s="50">
        <f>L11*Monthly!E9*$L$4</f>
        <v>924000</v>
      </c>
      <c r="N11" s="50">
        <f>M11-(Monthly!S9-Monthly!R9)-L11*Monthly!Q9</f>
        <v>-261500</v>
      </c>
      <c r="O11" s="50">
        <f>M11*MAX(0,1-(MIN(MAX(Inputs!$B$33,0),60)/30))+M10*MAX(0,1-ABS((MIN(MAX(Inputs!$B$33,0),60)/30)-1))+M9*MAX(0,(MIN(MAX(Inputs!$B$33,0),60)/30)-1)</f>
        <v>870000</v>
      </c>
      <c r="P11" s="50">
        <f>P10+O11-(Monthly!S9-Monthly!R9)-L11*Monthly!Q9-Monthly!X9-Monthly!Y9</f>
        <v>-23675000</v>
      </c>
      <c r="Q11" s="47" t="str">
        <f t="shared" si="1"/>
        <v/>
      </c>
      <c r="S11" s="48">
        <f>IF($A11=0,0,IF(OR(Inputs!$B$38&lt;=1,$A11&gt;=Inputs!$B$38),$V$4,Inputs!$B$36+($V$4-Inputs!$B$36)*($A11-1)/(Inputs!$B$38-1)))</f>
        <v>0.38636363636363635</v>
      </c>
      <c r="T11" s="49">
        <f>ROUNDDOWN(INT(Inputs!$B$7)*S11+0.000000001,0)</f>
        <v>77</v>
      </c>
      <c r="U11" s="50">
        <f>T11*Monthly!E9*$T$4</f>
        <v>1016400.0000000001</v>
      </c>
      <c r="V11" s="50">
        <f>U11-(Monthly!S9-Monthly!R9)-T11*Monthly!Q9</f>
        <v>-169099.99999999988</v>
      </c>
      <c r="W11" s="50">
        <f>U11*MAX(0,1-(MIN(MAX(Inputs!$B$33,0),60)/30))+U10*MAX(0,1-ABS((MIN(MAX(Inputs!$B$33,0),60)/30)-1))+U9*MAX(0,(MIN(MAX(Inputs!$B$33,0),60)/30)-1)</f>
        <v>957000.00000000012</v>
      </c>
      <c r="X11" s="50">
        <f>X10+W11-(Monthly!S9-Monthly!R9)-T11*Monthly!Q9-Monthly!X9-Monthly!Y9</f>
        <v>-23416400</v>
      </c>
      <c r="Y11" s="47" t="str">
        <f t="shared" si="2"/>
        <v/>
      </c>
      <c r="AA11" s="48">
        <f>IF($A11=0,0,IF(OR(Inputs!$B$38&lt;=1,$A11&gt;=Inputs!$B$38),$AD$4,Inputs!$B$36+($AD$4-Inputs!$B$36)*($A11-1)/(Inputs!$B$38-1)))</f>
        <v>0.41363636363636358</v>
      </c>
      <c r="AB11" s="49">
        <f>ROUNDDOWN(INT(Inputs!$B$7)*AA11+0.000000001,0)</f>
        <v>82</v>
      </c>
      <c r="AC11" s="50">
        <f>AB11*Monthly!E9*$AB$4</f>
        <v>885600</v>
      </c>
      <c r="AD11" s="50">
        <f>AC11-(Monthly!S9-Monthly!R9)-AB11*Monthly!Q9</f>
        <v>-307400</v>
      </c>
      <c r="AE11" s="50">
        <f>AC11*MAX(0,1-(MIN(MAX(Inputs!$B$33,0),60)/30))+AC10*MAX(0,1-ABS((MIN(MAX(Inputs!$B$33,0),60)/30)-1))+AC9*MAX(0,(MIN(MAX(Inputs!$B$33,0),60)/30)-1)</f>
        <v>826200</v>
      </c>
      <c r="AF11" s="50">
        <f>AF10+AE11-(Monthly!S9-Monthly!R9)-AB11*Monthly!Q9-Monthly!X9-Monthly!Y9</f>
        <v>-23876900</v>
      </c>
      <c r="AG11" s="47" t="str">
        <f t="shared" si="3"/>
        <v/>
      </c>
      <c r="AI11" s="48">
        <f>IF($A11=0,0,IF(OR(Inputs!$B$38&lt;=1,$A11&gt;=Inputs!$B$38),$AL$4,Inputs!$B$36+($AL$4-Inputs!$B$36)*($A11-1)/(Inputs!$B$38-1)))</f>
        <v>0.41363636363636358</v>
      </c>
      <c r="AJ11" s="49">
        <f>ROUNDDOWN(INT(Inputs!$B$7)*AI11+0.000000001,0)</f>
        <v>82</v>
      </c>
      <c r="AK11" s="50">
        <f>AJ11*Monthly!E9*$AJ$4</f>
        <v>984000</v>
      </c>
      <c r="AL11" s="50">
        <f>AK11-(Monthly!S9-Monthly!R9)-AJ11*Monthly!Q9</f>
        <v>-209000</v>
      </c>
      <c r="AM11" s="50">
        <f>AK11*MAX(0,1-(MIN(MAX(Inputs!$B$33,0),60)/30))+AK10*MAX(0,1-ABS((MIN(MAX(Inputs!$B$33,0),60)/30)-1))+AK9*MAX(0,(MIN(MAX(Inputs!$B$33,0),60)/30)-1)</f>
        <v>918000</v>
      </c>
      <c r="AN11" s="50">
        <f>AN10+AM11-(Monthly!S9-Monthly!R9)-AJ11*Monthly!Q9-Monthly!X9-Monthly!Y9</f>
        <v>-23610500</v>
      </c>
      <c r="AO11" s="47" t="str">
        <f t="shared" si="4"/>
        <v/>
      </c>
      <c r="AQ11" s="48">
        <f>IF($A11=0,0,IF(OR(Inputs!$B$38&lt;=1,$A11&gt;=Inputs!$B$38),$AT$4,Inputs!$B$36+($AT$4-Inputs!$B$36)*($A11-1)/(Inputs!$B$38-1)))</f>
        <v>0.41363636363636358</v>
      </c>
      <c r="AR11" s="49">
        <f>ROUNDDOWN(INT(Inputs!$B$7)*AQ11+0.000000001,0)</f>
        <v>82</v>
      </c>
      <c r="AS11" s="50">
        <f>AR11*Monthly!E9*$AR$4</f>
        <v>1082400</v>
      </c>
      <c r="AT11" s="50">
        <f>AS11-(Monthly!S9-Monthly!R9)-AR11*Monthly!Q9</f>
        <v>-110600</v>
      </c>
      <c r="AU11" s="50">
        <f>AS11*MAX(0,1-(MIN(MAX(Inputs!$B$33,0),60)/30))+AS10*MAX(0,1-ABS((MIN(MAX(Inputs!$B$33,0),60)/30)-1))+AS9*MAX(0,(MIN(MAX(Inputs!$B$33,0),60)/30)-1)</f>
        <v>1009800</v>
      </c>
      <c r="AV11" s="50">
        <f>AV10+AU11-(Monthly!S9-Monthly!R9)-AR11*Monthly!Q9-Monthly!X9-Monthly!Y9</f>
        <v>-23344100</v>
      </c>
      <c r="AW11" s="47" t="str">
        <f t="shared" si="5"/>
        <v/>
      </c>
      <c r="AY11" s="48">
        <f>IF($A11=0,0,IF(OR(Inputs!$B$38&lt;=1,$A11&gt;=Inputs!$B$38),$BB$4,Inputs!$B$36+($BB$4-Inputs!$B$36)*($A11-1)/(Inputs!$B$38-1)))</f>
        <v>0.44090909090909092</v>
      </c>
      <c r="AZ11" s="49">
        <f>ROUNDDOWN(INT(Inputs!$B$7)*AY11+0.000000001,0)</f>
        <v>88</v>
      </c>
      <c r="BA11" s="50">
        <f>AZ11*Monthly!E9*$AZ$4</f>
        <v>950400</v>
      </c>
      <c r="BB11" s="50">
        <f>BA11-(Monthly!S9-Monthly!R9)-AZ11*Monthly!Q9</f>
        <v>-251600</v>
      </c>
      <c r="BC11" s="50">
        <f>BA11*MAX(0,1-(MIN(MAX(Inputs!$B$33,0),60)/30))+BA10*MAX(0,1-ABS((MIN(MAX(Inputs!$B$33,0),60)/30)-1))+BA9*MAX(0,(MIN(MAX(Inputs!$B$33,0),60)/30)-1)</f>
        <v>880200</v>
      </c>
      <c r="BD11" s="50">
        <f>BD10+BC11-(Monthly!S9-Monthly!R9)-AZ11*Monthly!Q9-Monthly!X9-Monthly!Y9</f>
        <v>-23797700</v>
      </c>
      <c r="BE11" s="47" t="str">
        <f t="shared" si="6"/>
        <v/>
      </c>
      <c r="BG11" s="48">
        <f>IF($A11=0,0,IF(OR(Inputs!$B$38&lt;=1,$A11&gt;=Inputs!$B$38),$BJ$4,Inputs!$B$36+($BJ$4-Inputs!$B$36)*($A11-1)/(Inputs!$B$38-1)))</f>
        <v>0.44090909090909092</v>
      </c>
      <c r="BH11" s="49">
        <f>ROUNDDOWN(INT(Inputs!$B$7)*BG11+0.000000001,0)</f>
        <v>88</v>
      </c>
      <c r="BI11" s="50">
        <f>BH11*Monthly!E9*$BH$4</f>
        <v>1056000</v>
      </c>
      <c r="BJ11" s="50">
        <f>BI11-(Monthly!S9-Monthly!R9)-BH11*Monthly!Q9</f>
        <v>-146000</v>
      </c>
      <c r="BK11" s="50">
        <f>BI11*MAX(0,1-(MIN(MAX(Inputs!$B$33,0),60)/30))+BI10*MAX(0,1-ABS((MIN(MAX(Inputs!$B$33,0),60)/30)-1))+BI9*MAX(0,(MIN(MAX(Inputs!$B$33,0),60)/30)-1)</f>
        <v>978000</v>
      </c>
      <c r="BL11" s="50">
        <f>BL10+BK11-(Monthly!S9-Monthly!R9)-BH11*Monthly!Q9-Monthly!X9-Monthly!Y9</f>
        <v>-23520500</v>
      </c>
      <c r="BM11" s="47" t="str">
        <f t="shared" si="7"/>
        <v/>
      </c>
      <c r="BO11" s="48">
        <f>IF($A11=0,0,IF(OR(Inputs!$B$38&lt;=1,$A11&gt;=Inputs!$B$38),$BR$4,Inputs!$B$36+($BR$4-Inputs!$B$36)*($A11-1)/(Inputs!$B$38-1)))</f>
        <v>0.44090909090909092</v>
      </c>
      <c r="BP11" s="49">
        <f>ROUNDDOWN(INT(Inputs!$B$7)*BO11+0.000000001,0)</f>
        <v>88</v>
      </c>
      <c r="BQ11" s="50">
        <f>BP11*Monthly!E9*$BP$4</f>
        <v>1161600</v>
      </c>
      <c r="BR11" s="50">
        <f>BQ11-(Monthly!S9-Monthly!R9)-BP11*Monthly!Q9</f>
        <v>-40400</v>
      </c>
      <c r="BS11" s="50">
        <f>BQ11*MAX(0,1-(MIN(MAX(Inputs!$B$33,0),60)/30))+BQ10*MAX(0,1-ABS((MIN(MAX(Inputs!$B$33,0),60)/30)-1))+BQ9*MAX(0,(MIN(MAX(Inputs!$B$33,0),60)/30)-1)</f>
        <v>1075800</v>
      </c>
      <c r="BT11" s="50">
        <f>BT10+BS11-(Monthly!S9-Monthly!R9)-BP11*Monthly!Q9-Monthly!X9-Monthly!Y9</f>
        <v>-23243300</v>
      </c>
      <c r="BU11" s="47" t="str">
        <f t="shared" si="8"/>
        <v/>
      </c>
    </row>
    <row r="12" spans="1:73" x14ac:dyDescent="0.2">
      <c r="A12" s="56">
        <f>Monthly!A10</f>
        <v>5</v>
      </c>
      <c r="B12" s="56">
        <f>Monthly!B10</f>
        <v>1</v>
      </c>
      <c r="C12" s="48">
        <f>IF($A12=0,0,IF(OR(Inputs!$B$38&lt;=1,$A12&gt;=Inputs!$B$38),$F$4,Inputs!$B$36+($F$4-Inputs!$B$36)*($A12-1)/(Inputs!$B$38-1)))</f>
        <v>0.43181818181818182</v>
      </c>
      <c r="D12" s="49">
        <f>ROUNDDOWN(INT(Inputs!$B$7)*C12+0.000000001,0)</f>
        <v>86</v>
      </c>
      <c r="E12" s="50">
        <f>D12*Monthly!E10*$D$4</f>
        <v>928800</v>
      </c>
      <c r="F12" s="50">
        <f>E12-(Monthly!S10-Monthly!R10)-D12*Monthly!Q10</f>
        <v>-270200</v>
      </c>
      <c r="G12" s="50">
        <f>E12*MAX(0,1-(MIN(MAX(Inputs!$B$33,0),60)/30))+E11*MAX(0,1-ABS((MIN(MAX(Inputs!$B$33,0),60)/30)-1))+E10*MAX(0,(MIN(MAX(Inputs!$B$33,0),60)/30)-1)</f>
        <v>880200</v>
      </c>
      <c r="H12" s="50">
        <f>H11+G12-(Monthly!S10-Monthly!R10)-D12*Monthly!Q10-Monthly!X10-Monthly!Y10</f>
        <v>-24252400</v>
      </c>
      <c r="I12" s="47" t="str">
        <f t="shared" si="0"/>
        <v/>
      </c>
      <c r="K12" s="48">
        <f>IF($A12=0,0,IF(OR(Inputs!$B$38&lt;=1,$A12&gt;=Inputs!$B$38),$N$4,Inputs!$B$36+($N$4-Inputs!$B$36)*($A12-1)/(Inputs!$B$38-1)))</f>
        <v>0.43181818181818182</v>
      </c>
      <c r="L12" s="49">
        <f>ROUNDDOWN(INT(Inputs!$B$7)*K12+0.000000001,0)</f>
        <v>86</v>
      </c>
      <c r="M12" s="50">
        <f>L12*Monthly!E10*$L$4</f>
        <v>1032000</v>
      </c>
      <c r="N12" s="50">
        <f>M12-(Monthly!S10-Monthly!R10)-L12*Monthly!Q10</f>
        <v>-167000</v>
      </c>
      <c r="O12" s="50">
        <f>M12*MAX(0,1-(MIN(MAX(Inputs!$B$33,0),60)/30))+M11*MAX(0,1-ABS((MIN(MAX(Inputs!$B$33,0),60)/30)-1))+M10*MAX(0,(MIN(MAX(Inputs!$B$33,0),60)/30)-1)</f>
        <v>978000</v>
      </c>
      <c r="P12" s="50">
        <f>P11+O12-(Monthly!S10-Monthly!R10)-L12*Monthly!Q10-Monthly!X10-Monthly!Y10</f>
        <v>-23896000</v>
      </c>
      <c r="Q12" s="47" t="str">
        <f t="shared" si="1"/>
        <v/>
      </c>
      <c r="S12" s="48">
        <f>IF($A12=0,0,IF(OR(Inputs!$B$38&lt;=1,$A12&gt;=Inputs!$B$38),$V$4,Inputs!$B$36+($V$4-Inputs!$B$36)*($A12-1)/(Inputs!$B$38-1)))</f>
        <v>0.43181818181818182</v>
      </c>
      <c r="T12" s="49">
        <f>ROUNDDOWN(INT(Inputs!$B$7)*S12+0.000000001,0)</f>
        <v>86</v>
      </c>
      <c r="U12" s="50">
        <f>T12*Monthly!E10*$T$4</f>
        <v>1135200</v>
      </c>
      <c r="V12" s="50">
        <f>U12-(Monthly!S10-Monthly!R10)-T12*Monthly!Q10</f>
        <v>-63800</v>
      </c>
      <c r="W12" s="50">
        <f>U12*MAX(0,1-(MIN(MAX(Inputs!$B$33,0),60)/30))+U11*MAX(0,1-ABS((MIN(MAX(Inputs!$B$33,0),60)/30)-1))+U10*MAX(0,(MIN(MAX(Inputs!$B$33,0),60)/30)-1)</f>
        <v>1075800</v>
      </c>
      <c r="X12" s="50">
        <f>X11+W12-(Monthly!S10-Monthly!R10)-T12*Monthly!Q10-Monthly!X10-Monthly!Y10</f>
        <v>-23539600</v>
      </c>
      <c r="Y12" s="47" t="str">
        <f t="shared" si="2"/>
        <v/>
      </c>
      <c r="AA12" s="48">
        <f>IF($A12=0,0,IF(OR(Inputs!$B$38&lt;=1,$A12&gt;=Inputs!$B$38),$AD$4,Inputs!$B$36+($AD$4-Inputs!$B$36)*($A12-1)/(Inputs!$B$38-1)))</f>
        <v>0.46818181818181814</v>
      </c>
      <c r="AB12" s="49">
        <f>ROUNDDOWN(INT(Inputs!$B$7)*AA12+0.000000001,0)</f>
        <v>93</v>
      </c>
      <c r="AC12" s="50">
        <f>AB12*Monthly!E10*$AB$4</f>
        <v>1004400</v>
      </c>
      <c r="AD12" s="50">
        <f>AC12-(Monthly!S10-Monthly!R10)-AB12*Monthly!Q10</f>
        <v>-205100</v>
      </c>
      <c r="AE12" s="50">
        <f>AC12*MAX(0,1-(MIN(MAX(Inputs!$B$33,0),60)/30))+AC11*MAX(0,1-ABS((MIN(MAX(Inputs!$B$33,0),60)/30)-1))+AC10*MAX(0,(MIN(MAX(Inputs!$B$33,0),60)/30)-1)</f>
        <v>945000</v>
      </c>
      <c r="AF12" s="50">
        <f>AF11+AE12-(Monthly!S10-Monthly!R10)-AB12*Monthly!Q10-Monthly!X10-Monthly!Y10</f>
        <v>-24141400</v>
      </c>
      <c r="AG12" s="47" t="str">
        <f t="shared" si="3"/>
        <v/>
      </c>
      <c r="AI12" s="48">
        <f>IF($A12=0,0,IF(OR(Inputs!$B$38&lt;=1,$A12&gt;=Inputs!$B$38),$AL$4,Inputs!$B$36+($AL$4-Inputs!$B$36)*($A12-1)/(Inputs!$B$38-1)))</f>
        <v>0.46818181818181814</v>
      </c>
      <c r="AJ12" s="49">
        <f>ROUNDDOWN(INT(Inputs!$B$7)*AI12+0.000000001,0)</f>
        <v>93</v>
      </c>
      <c r="AK12" s="50">
        <f>AJ12*Monthly!E10*$AJ$4</f>
        <v>1116000</v>
      </c>
      <c r="AL12" s="50">
        <f>AK12-(Monthly!S10-Monthly!R10)-AJ12*Monthly!Q10</f>
        <v>-93500</v>
      </c>
      <c r="AM12" s="50">
        <f>AK12*MAX(0,1-(MIN(MAX(Inputs!$B$33,0),60)/30))+AK11*MAX(0,1-ABS((MIN(MAX(Inputs!$B$33,0),60)/30)-1))+AK10*MAX(0,(MIN(MAX(Inputs!$B$33,0),60)/30)-1)</f>
        <v>1050000</v>
      </c>
      <c r="AN12" s="50">
        <f>AN11+AM12-(Monthly!S10-Monthly!R10)-AJ12*Monthly!Q10-Monthly!X10-Monthly!Y10</f>
        <v>-23770000</v>
      </c>
      <c r="AO12" s="47" t="str">
        <f t="shared" si="4"/>
        <v/>
      </c>
      <c r="AQ12" s="48">
        <f>IF($A12=0,0,IF(OR(Inputs!$B$38&lt;=1,$A12&gt;=Inputs!$B$38),$AT$4,Inputs!$B$36+($AT$4-Inputs!$B$36)*($A12-1)/(Inputs!$B$38-1)))</f>
        <v>0.46818181818181814</v>
      </c>
      <c r="AR12" s="49">
        <f>ROUNDDOWN(INT(Inputs!$B$7)*AQ12+0.000000001,0)</f>
        <v>93</v>
      </c>
      <c r="AS12" s="50">
        <f>AR12*Monthly!E10*$AR$4</f>
        <v>1227600</v>
      </c>
      <c r="AT12" s="50">
        <f>AS12-(Monthly!S10-Monthly!R10)-AR12*Monthly!Q10</f>
        <v>18100</v>
      </c>
      <c r="AU12" s="50">
        <f>AS12*MAX(0,1-(MIN(MAX(Inputs!$B$33,0),60)/30))+AS11*MAX(0,1-ABS((MIN(MAX(Inputs!$B$33,0),60)/30)-1))+AS10*MAX(0,(MIN(MAX(Inputs!$B$33,0),60)/30)-1)</f>
        <v>1155000</v>
      </c>
      <c r="AV12" s="50">
        <f>AV11+AU12-(Monthly!S10-Monthly!R10)-AR12*Monthly!Q10-Monthly!X10-Monthly!Y10</f>
        <v>-23398600</v>
      </c>
      <c r="AW12" s="47" t="str">
        <f t="shared" si="5"/>
        <v/>
      </c>
      <c r="AY12" s="48">
        <f>IF($A12=0,0,IF(OR(Inputs!$B$38&lt;=1,$A12&gt;=Inputs!$B$38),$BB$4,Inputs!$B$36+($BB$4-Inputs!$B$36)*($A12-1)/(Inputs!$B$38-1)))</f>
        <v>0.50454545454545452</v>
      </c>
      <c r="AZ12" s="49">
        <f>ROUNDDOWN(INT(Inputs!$B$7)*AY12+0.000000001,0)</f>
        <v>100</v>
      </c>
      <c r="BA12" s="50">
        <f>AZ12*Monthly!E10*$AZ$4</f>
        <v>1080000</v>
      </c>
      <c r="BB12" s="50">
        <f>BA12-(Monthly!S10-Monthly!R10)-AZ12*Monthly!Q10</f>
        <v>-140000</v>
      </c>
      <c r="BC12" s="50">
        <f>BA12*MAX(0,1-(MIN(MAX(Inputs!$B$33,0),60)/30))+BA11*MAX(0,1-ABS((MIN(MAX(Inputs!$B$33,0),60)/30)-1))+BA10*MAX(0,(MIN(MAX(Inputs!$B$33,0),60)/30)-1)</f>
        <v>1015200</v>
      </c>
      <c r="BD12" s="50">
        <f>BD11+BC12-(Monthly!S10-Monthly!R10)-AZ12*Monthly!Q10-Monthly!X10-Monthly!Y10</f>
        <v>-24002500</v>
      </c>
      <c r="BE12" s="47" t="str">
        <f t="shared" si="6"/>
        <v/>
      </c>
      <c r="BG12" s="48">
        <f>IF($A12=0,0,IF(OR(Inputs!$B$38&lt;=1,$A12&gt;=Inputs!$B$38),$BJ$4,Inputs!$B$36+($BJ$4-Inputs!$B$36)*($A12-1)/(Inputs!$B$38-1)))</f>
        <v>0.50454545454545452</v>
      </c>
      <c r="BH12" s="49">
        <f>ROUNDDOWN(INT(Inputs!$B$7)*BG12+0.000000001,0)</f>
        <v>100</v>
      </c>
      <c r="BI12" s="50">
        <f>BH12*Monthly!E10*$BH$4</f>
        <v>1200000</v>
      </c>
      <c r="BJ12" s="50">
        <f>BI12-(Monthly!S10-Monthly!R10)-BH12*Monthly!Q10</f>
        <v>-20000</v>
      </c>
      <c r="BK12" s="50">
        <f>BI12*MAX(0,1-(MIN(MAX(Inputs!$B$33,0),60)/30))+BI11*MAX(0,1-ABS((MIN(MAX(Inputs!$B$33,0),60)/30)-1))+BI10*MAX(0,(MIN(MAX(Inputs!$B$33,0),60)/30)-1)</f>
        <v>1128000</v>
      </c>
      <c r="BL12" s="50">
        <f>BL11+BK12-(Monthly!S10-Monthly!R10)-BH12*Monthly!Q10-Monthly!X10-Monthly!Y10</f>
        <v>-23612500</v>
      </c>
      <c r="BM12" s="47" t="str">
        <f t="shared" si="7"/>
        <v/>
      </c>
      <c r="BO12" s="48">
        <f>IF($A12=0,0,IF(OR(Inputs!$B$38&lt;=1,$A12&gt;=Inputs!$B$38),$BR$4,Inputs!$B$36+($BR$4-Inputs!$B$36)*($A12-1)/(Inputs!$B$38-1)))</f>
        <v>0.50454545454545452</v>
      </c>
      <c r="BP12" s="49">
        <f>ROUNDDOWN(INT(Inputs!$B$7)*BO12+0.000000001,0)</f>
        <v>100</v>
      </c>
      <c r="BQ12" s="50">
        <f>BP12*Monthly!E10*$BP$4</f>
        <v>1320000</v>
      </c>
      <c r="BR12" s="50">
        <f>BQ12-(Monthly!S10-Monthly!R10)-BP12*Monthly!Q10</f>
        <v>100000</v>
      </c>
      <c r="BS12" s="50">
        <f>BQ12*MAX(0,1-(MIN(MAX(Inputs!$B$33,0),60)/30))+BQ11*MAX(0,1-ABS((MIN(MAX(Inputs!$B$33,0),60)/30)-1))+BQ10*MAX(0,(MIN(MAX(Inputs!$B$33,0),60)/30)-1)</f>
        <v>1240800</v>
      </c>
      <c r="BT12" s="50">
        <f>BT11+BS12-(Monthly!S10-Monthly!R10)-BP12*Monthly!Q10-Monthly!X10-Monthly!Y10</f>
        <v>-23222500</v>
      </c>
      <c r="BU12" s="47" t="str">
        <f t="shared" si="8"/>
        <v/>
      </c>
    </row>
    <row r="13" spans="1:73" x14ac:dyDescent="0.2">
      <c r="A13" s="56">
        <f>Monthly!A11</f>
        <v>6</v>
      </c>
      <c r="B13" s="56">
        <f>Monthly!B11</f>
        <v>1</v>
      </c>
      <c r="C13" s="48">
        <f>IF($A13=0,0,IF(OR(Inputs!$B$38&lt;=1,$A13&gt;=Inputs!$B$38),$F$4,Inputs!$B$36+($F$4-Inputs!$B$36)*($A13-1)/(Inputs!$B$38-1)))</f>
        <v>0.47727272727272729</v>
      </c>
      <c r="D13" s="49">
        <f>ROUNDDOWN(INT(Inputs!$B$7)*C13+0.000000001,0)</f>
        <v>95</v>
      </c>
      <c r="E13" s="50">
        <f>D13*Monthly!E11*$D$4</f>
        <v>1026000</v>
      </c>
      <c r="F13" s="50">
        <f>E13-(Monthly!S11-Monthly!R11)-D13*Monthly!Q11</f>
        <v>-186500</v>
      </c>
      <c r="G13" s="50">
        <f>E13*MAX(0,1-(MIN(MAX(Inputs!$B$33,0),60)/30))+E12*MAX(0,1-ABS((MIN(MAX(Inputs!$B$33,0),60)/30)-1))+E11*MAX(0,(MIN(MAX(Inputs!$B$33,0),60)/30)-1)</f>
        <v>977400</v>
      </c>
      <c r="H13" s="50">
        <f>H12+G13-(Monthly!S11-Monthly!R11)-D13*Monthly!Q11-Monthly!X11-Monthly!Y11</f>
        <v>-24487500</v>
      </c>
      <c r="I13" s="47" t="str">
        <f t="shared" si="0"/>
        <v/>
      </c>
      <c r="K13" s="48">
        <f>IF($A13=0,0,IF(OR(Inputs!$B$38&lt;=1,$A13&gt;=Inputs!$B$38),$N$4,Inputs!$B$36+($N$4-Inputs!$B$36)*($A13-1)/(Inputs!$B$38-1)))</f>
        <v>0.47727272727272729</v>
      </c>
      <c r="L13" s="49">
        <f>ROUNDDOWN(INT(Inputs!$B$7)*K13+0.000000001,0)</f>
        <v>95</v>
      </c>
      <c r="M13" s="50">
        <f>L13*Monthly!E11*$L$4</f>
        <v>1140000</v>
      </c>
      <c r="N13" s="50">
        <f>M13-(Monthly!S11-Monthly!R11)-L13*Monthly!Q11</f>
        <v>-72500</v>
      </c>
      <c r="O13" s="50">
        <f>M13*MAX(0,1-(MIN(MAX(Inputs!$B$33,0),60)/30))+M12*MAX(0,1-ABS((MIN(MAX(Inputs!$B$33,0),60)/30)-1))+M11*MAX(0,(MIN(MAX(Inputs!$B$33,0),60)/30)-1)</f>
        <v>1086000</v>
      </c>
      <c r="P13" s="50">
        <f>P12+O13-(Monthly!S11-Monthly!R11)-L13*Monthly!Q11-Monthly!X11-Monthly!Y11</f>
        <v>-24022500</v>
      </c>
      <c r="Q13" s="47" t="str">
        <f t="shared" si="1"/>
        <v/>
      </c>
      <c r="S13" s="48">
        <f>IF($A13=0,0,IF(OR(Inputs!$B$38&lt;=1,$A13&gt;=Inputs!$B$38),$V$4,Inputs!$B$36+($V$4-Inputs!$B$36)*($A13-1)/(Inputs!$B$38-1)))</f>
        <v>0.47727272727272729</v>
      </c>
      <c r="T13" s="49">
        <f>ROUNDDOWN(INT(Inputs!$B$7)*S13+0.000000001,0)</f>
        <v>95</v>
      </c>
      <c r="U13" s="50">
        <f>T13*Monthly!E11*$T$4</f>
        <v>1254000</v>
      </c>
      <c r="V13" s="50">
        <f>U13-(Monthly!S11-Monthly!R11)-T13*Monthly!Q11</f>
        <v>41500</v>
      </c>
      <c r="W13" s="50">
        <f>U13*MAX(0,1-(MIN(MAX(Inputs!$B$33,0),60)/30))+U12*MAX(0,1-ABS((MIN(MAX(Inputs!$B$33,0),60)/30)-1))+U11*MAX(0,(MIN(MAX(Inputs!$B$33,0),60)/30)-1)</f>
        <v>1194600</v>
      </c>
      <c r="X13" s="50">
        <f>X12+W13-(Monthly!S11-Monthly!R11)-T13*Monthly!Q11-Monthly!X11-Monthly!Y11</f>
        <v>-23557500</v>
      </c>
      <c r="Y13" s="47" t="str">
        <f t="shared" si="2"/>
        <v/>
      </c>
      <c r="AA13" s="48">
        <f>IF($A13=0,0,IF(OR(Inputs!$B$38&lt;=1,$A13&gt;=Inputs!$B$38),$AD$4,Inputs!$B$36+($AD$4-Inputs!$B$36)*($A13-1)/(Inputs!$B$38-1)))</f>
        <v>0.52272727272727271</v>
      </c>
      <c r="AB13" s="49">
        <f>ROUNDDOWN(INT(Inputs!$B$7)*AA13+0.000000001,0)</f>
        <v>104</v>
      </c>
      <c r="AC13" s="50">
        <f>AB13*Monthly!E11*$AB$4</f>
        <v>1123200</v>
      </c>
      <c r="AD13" s="50">
        <f>AC13-(Monthly!S11-Monthly!R11)-AB13*Monthly!Q11</f>
        <v>-102800</v>
      </c>
      <c r="AE13" s="50">
        <f>AC13*MAX(0,1-(MIN(MAX(Inputs!$B$33,0),60)/30))+AC12*MAX(0,1-ABS((MIN(MAX(Inputs!$B$33,0),60)/30)-1))+AC11*MAX(0,(MIN(MAX(Inputs!$B$33,0),60)/30)-1)</f>
        <v>1063800</v>
      </c>
      <c r="AF13" s="50">
        <f>AF12+AE13-(Monthly!S11-Monthly!R11)-AB13*Monthly!Q11-Monthly!X11-Monthly!Y11</f>
        <v>-24303600</v>
      </c>
      <c r="AG13" s="47" t="str">
        <f t="shared" si="3"/>
        <v/>
      </c>
      <c r="AI13" s="48">
        <f>IF($A13=0,0,IF(OR(Inputs!$B$38&lt;=1,$A13&gt;=Inputs!$B$38),$AL$4,Inputs!$B$36+($AL$4-Inputs!$B$36)*($A13-1)/(Inputs!$B$38-1)))</f>
        <v>0.52272727272727271</v>
      </c>
      <c r="AJ13" s="49">
        <f>ROUNDDOWN(INT(Inputs!$B$7)*AI13+0.000000001,0)</f>
        <v>104</v>
      </c>
      <c r="AK13" s="50">
        <f>AJ13*Monthly!E11*$AJ$4</f>
        <v>1248000</v>
      </c>
      <c r="AL13" s="50">
        <f>AK13-(Monthly!S11-Monthly!R11)-AJ13*Monthly!Q11</f>
        <v>22000</v>
      </c>
      <c r="AM13" s="50">
        <f>AK13*MAX(0,1-(MIN(MAX(Inputs!$B$33,0),60)/30))+AK12*MAX(0,1-ABS((MIN(MAX(Inputs!$B$33,0),60)/30)-1))+AK11*MAX(0,(MIN(MAX(Inputs!$B$33,0),60)/30)-1)</f>
        <v>1182000</v>
      </c>
      <c r="AN13" s="50">
        <f>AN12+AM13-(Monthly!S11-Monthly!R11)-AJ13*Monthly!Q11-Monthly!X11-Monthly!Y11</f>
        <v>-23814000</v>
      </c>
      <c r="AO13" s="47" t="str">
        <f t="shared" si="4"/>
        <v/>
      </c>
      <c r="AQ13" s="48">
        <f>IF($A13=0,0,IF(OR(Inputs!$B$38&lt;=1,$A13&gt;=Inputs!$B$38),$AT$4,Inputs!$B$36+($AT$4-Inputs!$B$36)*($A13-1)/(Inputs!$B$38-1)))</f>
        <v>0.52272727272727271</v>
      </c>
      <c r="AR13" s="49">
        <f>ROUNDDOWN(INT(Inputs!$B$7)*AQ13+0.000000001,0)</f>
        <v>104</v>
      </c>
      <c r="AS13" s="50">
        <f>AR13*Monthly!E11*$AR$4</f>
        <v>1372800</v>
      </c>
      <c r="AT13" s="50">
        <f>AS13-(Monthly!S11-Monthly!R11)-AR13*Monthly!Q11</f>
        <v>146800</v>
      </c>
      <c r="AU13" s="50">
        <f>AS13*MAX(0,1-(MIN(MAX(Inputs!$B$33,0),60)/30))+AS12*MAX(0,1-ABS((MIN(MAX(Inputs!$B$33,0),60)/30)-1))+AS11*MAX(0,(MIN(MAX(Inputs!$B$33,0),60)/30)-1)</f>
        <v>1300200</v>
      </c>
      <c r="AV13" s="50">
        <f>AV12+AU13-(Monthly!S11-Monthly!R11)-AR13*Monthly!Q11-Monthly!X11-Monthly!Y11</f>
        <v>-23324400</v>
      </c>
      <c r="AW13" s="47" t="str">
        <f t="shared" si="5"/>
        <v/>
      </c>
      <c r="AY13" s="48">
        <f>IF($A13=0,0,IF(OR(Inputs!$B$38&lt;=1,$A13&gt;=Inputs!$B$38),$BB$4,Inputs!$B$36+($BB$4-Inputs!$B$36)*($A13-1)/(Inputs!$B$38-1)))</f>
        <v>0.56818181818181812</v>
      </c>
      <c r="AZ13" s="49">
        <f>ROUNDDOWN(INT(Inputs!$B$7)*AY13+0.000000001,0)</f>
        <v>113</v>
      </c>
      <c r="BA13" s="50">
        <f>AZ13*Monthly!E11*$AZ$4</f>
        <v>1220400</v>
      </c>
      <c r="BB13" s="50">
        <f>BA13-(Monthly!S11-Monthly!R11)-AZ13*Monthly!Q11</f>
        <v>-19100</v>
      </c>
      <c r="BC13" s="50">
        <f>BA13*MAX(0,1-(MIN(MAX(Inputs!$B$33,0),60)/30))+BA12*MAX(0,1-ABS((MIN(MAX(Inputs!$B$33,0),60)/30)-1))+BA11*MAX(0,(MIN(MAX(Inputs!$B$33,0),60)/30)-1)</f>
        <v>1150200</v>
      </c>
      <c r="BD13" s="50">
        <f>BD12+BC13-(Monthly!S11-Monthly!R11)-AZ13*Monthly!Q11-Monthly!X11-Monthly!Y11</f>
        <v>-24091800</v>
      </c>
      <c r="BE13" s="47" t="str">
        <f t="shared" si="6"/>
        <v/>
      </c>
      <c r="BG13" s="48">
        <f>IF($A13=0,0,IF(OR(Inputs!$B$38&lt;=1,$A13&gt;=Inputs!$B$38),$BJ$4,Inputs!$B$36+($BJ$4-Inputs!$B$36)*($A13-1)/(Inputs!$B$38-1)))</f>
        <v>0.56818181818181812</v>
      </c>
      <c r="BH13" s="49">
        <f>ROUNDDOWN(INT(Inputs!$B$7)*BG13+0.000000001,0)</f>
        <v>113</v>
      </c>
      <c r="BI13" s="50">
        <f>BH13*Monthly!E11*$BH$4</f>
        <v>1356000</v>
      </c>
      <c r="BJ13" s="50">
        <f>BI13-(Monthly!S11-Monthly!R11)-BH13*Monthly!Q11</f>
        <v>116500</v>
      </c>
      <c r="BK13" s="50">
        <f>BI13*MAX(0,1-(MIN(MAX(Inputs!$B$33,0),60)/30))+BI12*MAX(0,1-ABS((MIN(MAX(Inputs!$B$33,0),60)/30)-1))+BI11*MAX(0,(MIN(MAX(Inputs!$B$33,0),60)/30)-1)</f>
        <v>1278000</v>
      </c>
      <c r="BL13" s="50">
        <f>BL12+BK13-(Monthly!S11-Monthly!R11)-BH13*Monthly!Q11-Monthly!X11-Monthly!Y11</f>
        <v>-23574000</v>
      </c>
      <c r="BM13" s="47" t="str">
        <f t="shared" si="7"/>
        <v/>
      </c>
      <c r="BO13" s="48">
        <f>IF($A13=0,0,IF(OR(Inputs!$B$38&lt;=1,$A13&gt;=Inputs!$B$38),$BR$4,Inputs!$B$36+($BR$4-Inputs!$B$36)*($A13-1)/(Inputs!$B$38-1)))</f>
        <v>0.56818181818181812</v>
      </c>
      <c r="BP13" s="49">
        <f>ROUNDDOWN(INT(Inputs!$B$7)*BO13+0.000000001,0)</f>
        <v>113</v>
      </c>
      <c r="BQ13" s="50">
        <f>BP13*Monthly!E11*$BP$4</f>
        <v>1491600.0000000002</v>
      </c>
      <c r="BR13" s="50">
        <f>BQ13-(Monthly!S11-Monthly!R11)-BP13*Monthly!Q11</f>
        <v>252100.00000000023</v>
      </c>
      <c r="BS13" s="50">
        <f>BQ13*MAX(0,1-(MIN(MAX(Inputs!$B$33,0),60)/30))+BQ12*MAX(0,1-ABS((MIN(MAX(Inputs!$B$33,0),60)/30)-1))+BQ11*MAX(0,(MIN(MAX(Inputs!$B$33,0),60)/30)-1)</f>
        <v>1405800</v>
      </c>
      <c r="BT13" s="50">
        <f>BT12+BS13-(Monthly!S11-Monthly!R11)-BP13*Monthly!Q11-Monthly!X11-Monthly!Y11</f>
        <v>-23056200</v>
      </c>
      <c r="BU13" s="47" t="str">
        <f t="shared" si="8"/>
        <v/>
      </c>
    </row>
    <row r="14" spans="1:73" x14ac:dyDescent="0.2">
      <c r="A14" s="56">
        <f>Monthly!A12</f>
        <v>7</v>
      </c>
      <c r="B14" s="56">
        <f>Monthly!B12</f>
        <v>1</v>
      </c>
      <c r="C14" s="48">
        <f>IF($A14=0,0,IF(OR(Inputs!$B$38&lt;=1,$A14&gt;=Inputs!$B$38),$F$4,Inputs!$B$36+($F$4-Inputs!$B$36)*($A14-1)/(Inputs!$B$38-1)))</f>
        <v>0.52272727272727271</v>
      </c>
      <c r="D14" s="49">
        <f>ROUNDDOWN(INT(Inputs!$B$7)*C14+0.000000001,0)</f>
        <v>104</v>
      </c>
      <c r="E14" s="50">
        <f>D14*Monthly!E12*$D$4</f>
        <v>1123200</v>
      </c>
      <c r="F14" s="50">
        <f>E14-(Monthly!S12-Monthly!R12)-D14*Monthly!Q12</f>
        <v>-102800</v>
      </c>
      <c r="G14" s="50">
        <f>E14*MAX(0,1-(MIN(MAX(Inputs!$B$33,0),60)/30))+E13*MAX(0,1-ABS((MIN(MAX(Inputs!$B$33,0),60)/30)-1))+E12*MAX(0,(MIN(MAX(Inputs!$B$33,0),60)/30)-1)</f>
        <v>1074600</v>
      </c>
      <c r="H14" s="50">
        <f>H13+G14-(Monthly!S12-Monthly!R12)-D14*Monthly!Q12-Monthly!X12-Monthly!Y12</f>
        <v>-24638900</v>
      </c>
      <c r="I14" s="47" t="str">
        <f t="shared" si="0"/>
        <v/>
      </c>
      <c r="K14" s="48">
        <f>IF($A14=0,0,IF(OR(Inputs!$B$38&lt;=1,$A14&gt;=Inputs!$B$38),$N$4,Inputs!$B$36+($N$4-Inputs!$B$36)*($A14-1)/(Inputs!$B$38-1)))</f>
        <v>0.52272727272727271</v>
      </c>
      <c r="L14" s="49">
        <f>ROUNDDOWN(INT(Inputs!$B$7)*K14+0.000000001,0)</f>
        <v>104</v>
      </c>
      <c r="M14" s="50">
        <f>L14*Monthly!E12*$L$4</f>
        <v>1248000</v>
      </c>
      <c r="N14" s="50">
        <f>M14-(Monthly!S12-Monthly!R12)-L14*Monthly!Q12</f>
        <v>22000</v>
      </c>
      <c r="O14" s="50">
        <f>M14*MAX(0,1-(MIN(MAX(Inputs!$B$33,0),60)/30))+M13*MAX(0,1-ABS((MIN(MAX(Inputs!$B$33,0),60)/30)-1))+M12*MAX(0,(MIN(MAX(Inputs!$B$33,0),60)/30)-1)</f>
        <v>1194000</v>
      </c>
      <c r="P14" s="50">
        <f>P13+O14-(Monthly!S12-Monthly!R12)-L14*Monthly!Q12-Monthly!X12-Monthly!Y12</f>
        <v>-24054500</v>
      </c>
      <c r="Q14" s="47" t="str">
        <f t="shared" si="1"/>
        <v/>
      </c>
      <c r="S14" s="48">
        <f>IF($A14=0,0,IF(OR(Inputs!$B$38&lt;=1,$A14&gt;=Inputs!$B$38),$V$4,Inputs!$B$36+($V$4-Inputs!$B$36)*($A14-1)/(Inputs!$B$38-1)))</f>
        <v>0.52272727272727271</v>
      </c>
      <c r="T14" s="49">
        <f>ROUNDDOWN(INT(Inputs!$B$7)*S14+0.000000001,0)</f>
        <v>104</v>
      </c>
      <c r="U14" s="50">
        <f>T14*Monthly!E12*$T$4</f>
        <v>1372800</v>
      </c>
      <c r="V14" s="50">
        <f>U14-(Monthly!S12-Monthly!R12)-T14*Monthly!Q12</f>
        <v>146800</v>
      </c>
      <c r="W14" s="50">
        <f>U14*MAX(0,1-(MIN(MAX(Inputs!$B$33,0),60)/30))+U13*MAX(0,1-ABS((MIN(MAX(Inputs!$B$33,0),60)/30)-1))+U12*MAX(0,(MIN(MAX(Inputs!$B$33,0),60)/30)-1)</f>
        <v>1313400</v>
      </c>
      <c r="X14" s="50">
        <f>X13+W14-(Monthly!S12-Monthly!R12)-T14*Monthly!Q12-Monthly!X12-Monthly!Y12</f>
        <v>-23470100</v>
      </c>
      <c r="Y14" s="47" t="str">
        <f t="shared" si="2"/>
        <v/>
      </c>
      <c r="AA14" s="48">
        <f>IF($A14=0,0,IF(OR(Inputs!$B$38&lt;=1,$A14&gt;=Inputs!$B$38),$AD$4,Inputs!$B$36+($AD$4-Inputs!$B$36)*($A14-1)/(Inputs!$B$38-1)))</f>
        <v>0.57727272727272716</v>
      </c>
      <c r="AB14" s="49">
        <f>ROUNDDOWN(INT(Inputs!$B$7)*AA14+0.000000001,0)</f>
        <v>115</v>
      </c>
      <c r="AC14" s="50">
        <f>AB14*Monthly!E12*$AB$4</f>
        <v>1242000</v>
      </c>
      <c r="AD14" s="50">
        <f>AC14-(Monthly!S12-Monthly!R12)-AB14*Monthly!Q12</f>
        <v>-500</v>
      </c>
      <c r="AE14" s="50">
        <f>AC14*MAX(0,1-(MIN(MAX(Inputs!$B$33,0),60)/30))+AC13*MAX(0,1-ABS((MIN(MAX(Inputs!$B$33,0),60)/30)-1))+AC12*MAX(0,(MIN(MAX(Inputs!$B$33,0),60)/30)-1)</f>
        <v>1182600</v>
      </c>
      <c r="AF14" s="50">
        <f>AF13+AE14-(Monthly!S12-Monthly!R12)-AB14*Monthly!Q12-Monthly!X12-Monthly!Y12</f>
        <v>-24363500</v>
      </c>
      <c r="AG14" s="47" t="str">
        <f t="shared" si="3"/>
        <v/>
      </c>
      <c r="AI14" s="48">
        <f>IF($A14=0,0,IF(OR(Inputs!$B$38&lt;=1,$A14&gt;=Inputs!$B$38),$AL$4,Inputs!$B$36+($AL$4-Inputs!$B$36)*($A14-1)/(Inputs!$B$38-1)))</f>
        <v>0.57727272727272716</v>
      </c>
      <c r="AJ14" s="49">
        <f>ROUNDDOWN(INT(Inputs!$B$7)*AI14+0.000000001,0)</f>
        <v>115</v>
      </c>
      <c r="AK14" s="50">
        <f>AJ14*Monthly!E12*$AJ$4</f>
        <v>1380000</v>
      </c>
      <c r="AL14" s="50">
        <f>AK14-(Monthly!S12-Monthly!R12)-AJ14*Monthly!Q12</f>
        <v>137500</v>
      </c>
      <c r="AM14" s="50">
        <f>AK14*MAX(0,1-(MIN(MAX(Inputs!$B$33,0),60)/30))+AK13*MAX(0,1-ABS((MIN(MAX(Inputs!$B$33,0),60)/30)-1))+AK12*MAX(0,(MIN(MAX(Inputs!$B$33,0),60)/30)-1)</f>
        <v>1314000</v>
      </c>
      <c r="AN14" s="50">
        <f>AN13+AM14-(Monthly!S12-Monthly!R12)-AJ14*Monthly!Q12-Monthly!X12-Monthly!Y12</f>
        <v>-23742500</v>
      </c>
      <c r="AO14" s="47" t="str">
        <f t="shared" si="4"/>
        <v/>
      </c>
      <c r="AQ14" s="48">
        <f>IF($A14=0,0,IF(OR(Inputs!$B$38&lt;=1,$A14&gt;=Inputs!$B$38),$AT$4,Inputs!$B$36+($AT$4-Inputs!$B$36)*($A14-1)/(Inputs!$B$38-1)))</f>
        <v>0.57727272727272716</v>
      </c>
      <c r="AR14" s="49">
        <f>ROUNDDOWN(INT(Inputs!$B$7)*AQ14+0.000000001,0)</f>
        <v>115</v>
      </c>
      <c r="AS14" s="50">
        <f>AR14*Monthly!E12*$AR$4</f>
        <v>1518000.0000000002</v>
      </c>
      <c r="AT14" s="50">
        <f>AS14-(Monthly!S12-Monthly!R12)-AR14*Monthly!Q12</f>
        <v>275500.00000000023</v>
      </c>
      <c r="AU14" s="50">
        <f>AS14*MAX(0,1-(MIN(MAX(Inputs!$B$33,0),60)/30))+AS13*MAX(0,1-ABS((MIN(MAX(Inputs!$B$33,0),60)/30)-1))+AS12*MAX(0,(MIN(MAX(Inputs!$B$33,0),60)/30)-1)</f>
        <v>1445400</v>
      </c>
      <c r="AV14" s="50">
        <f>AV13+AU14-(Monthly!S12-Monthly!R12)-AR14*Monthly!Q12-Monthly!X12-Monthly!Y12</f>
        <v>-23121500</v>
      </c>
      <c r="AW14" s="47" t="str">
        <f t="shared" si="5"/>
        <v/>
      </c>
      <c r="AY14" s="48">
        <f>IF($A14=0,0,IF(OR(Inputs!$B$38&lt;=1,$A14&gt;=Inputs!$B$38),$BB$4,Inputs!$B$36+($BB$4-Inputs!$B$36)*($A14-1)/(Inputs!$B$38-1)))</f>
        <v>0.63181818181818183</v>
      </c>
      <c r="AZ14" s="49">
        <f>ROUNDDOWN(INT(Inputs!$B$7)*AY14+0.000000001,0)</f>
        <v>126</v>
      </c>
      <c r="BA14" s="50">
        <f>AZ14*Monthly!E12*$AZ$4</f>
        <v>1360800</v>
      </c>
      <c r="BB14" s="50">
        <f>BA14-(Monthly!S12-Monthly!R12)-AZ14*Monthly!Q12</f>
        <v>101800</v>
      </c>
      <c r="BC14" s="50">
        <f>BA14*MAX(0,1-(MIN(MAX(Inputs!$B$33,0),60)/30))+BA13*MAX(0,1-ABS((MIN(MAX(Inputs!$B$33,0),60)/30)-1))+BA12*MAX(0,(MIN(MAX(Inputs!$B$33,0),60)/30)-1)</f>
        <v>1290600</v>
      </c>
      <c r="BD14" s="50">
        <f>BD13+BC14-(Monthly!S12-Monthly!R12)-AZ14*Monthly!Q12-Monthly!X12-Monthly!Y12</f>
        <v>-24060200</v>
      </c>
      <c r="BE14" s="47" t="str">
        <f t="shared" si="6"/>
        <v/>
      </c>
      <c r="BG14" s="48">
        <f>IF($A14=0,0,IF(OR(Inputs!$B$38&lt;=1,$A14&gt;=Inputs!$B$38),$BJ$4,Inputs!$B$36+($BJ$4-Inputs!$B$36)*($A14-1)/(Inputs!$B$38-1)))</f>
        <v>0.63181818181818183</v>
      </c>
      <c r="BH14" s="49">
        <f>ROUNDDOWN(INT(Inputs!$B$7)*BG14+0.000000001,0)</f>
        <v>126</v>
      </c>
      <c r="BI14" s="50">
        <f>BH14*Monthly!E12*$BH$4</f>
        <v>1512000</v>
      </c>
      <c r="BJ14" s="50">
        <f>BI14-(Monthly!S12-Monthly!R12)-BH14*Monthly!Q12</f>
        <v>253000</v>
      </c>
      <c r="BK14" s="50">
        <f>BI14*MAX(0,1-(MIN(MAX(Inputs!$B$33,0),60)/30))+BI13*MAX(0,1-ABS((MIN(MAX(Inputs!$B$33,0),60)/30)-1))+BI12*MAX(0,(MIN(MAX(Inputs!$B$33,0),60)/30)-1)</f>
        <v>1434000</v>
      </c>
      <c r="BL14" s="50">
        <f>BL13+BK14-(Monthly!S12-Monthly!R12)-BH14*Monthly!Q12-Monthly!X12-Monthly!Y12</f>
        <v>-23399000</v>
      </c>
      <c r="BM14" s="47" t="str">
        <f t="shared" si="7"/>
        <v/>
      </c>
      <c r="BO14" s="48">
        <f>IF($A14=0,0,IF(OR(Inputs!$B$38&lt;=1,$A14&gt;=Inputs!$B$38),$BR$4,Inputs!$B$36+($BR$4-Inputs!$B$36)*($A14-1)/(Inputs!$B$38-1)))</f>
        <v>0.63181818181818183</v>
      </c>
      <c r="BP14" s="49">
        <f>ROUNDDOWN(INT(Inputs!$B$7)*BO14+0.000000001,0)</f>
        <v>126</v>
      </c>
      <c r="BQ14" s="50">
        <f>BP14*Monthly!E12*$BP$4</f>
        <v>1663200.0000000002</v>
      </c>
      <c r="BR14" s="50">
        <f>BQ14-(Monthly!S12-Monthly!R12)-BP14*Monthly!Q12</f>
        <v>404200.00000000023</v>
      </c>
      <c r="BS14" s="50">
        <f>BQ14*MAX(0,1-(MIN(MAX(Inputs!$B$33,0),60)/30))+BQ13*MAX(0,1-ABS((MIN(MAX(Inputs!$B$33,0),60)/30)-1))+BQ12*MAX(0,(MIN(MAX(Inputs!$B$33,0),60)/30)-1)</f>
        <v>1577400.0000000002</v>
      </c>
      <c r="BT14" s="50">
        <f>BT13+BS14-(Monthly!S12-Monthly!R12)-BP14*Monthly!Q12-Monthly!X12-Monthly!Y12</f>
        <v>-22737800</v>
      </c>
      <c r="BU14" s="47" t="str">
        <f t="shared" si="8"/>
        <v/>
      </c>
    </row>
    <row r="15" spans="1:73" x14ac:dyDescent="0.2">
      <c r="A15" s="56">
        <f>Monthly!A13</f>
        <v>8</v>
      </c>
      <c r="B15" s="56">
        <f>Monthly!B13</f>
        <v>1</v>
      </c>
      <c r="C15" s="48">
        <f>IF($A15=0,0,IF(OR(Inputs!$B$38&lt;=1,$A15&gt;=Inputs!$B$38),$F$4,Inputs!$B$36+($F$4-Inputs!$B$36)*($A15-1)/(Inputs!$B$38-1)))</f>
        <v>0.56818181818181812</v>
      </c>
      <c r="D15" s="49">
        <f>ROUNDDOWN(INT(Inputs!$B$7)*C15+0.000000001,0)</f>
        <v>113</v>
      </c>
      <c r="E15" s="50">
        <f>D15*Monthly!E13*$D$4</f>
        <v>1220400</v>
      </c>
      <c r="F15" s="50">
        <f>E15-(Monthly!S13-Monthly!R13)-D15*Monthly!Q13</f>
        <v>-19100</v>
      </c>
      <c r="G15" s="50">
        <f>E15*MAX(0,1-(MIN(MAX(Inputs!$B$33,0),60)/30))+E14*MAX(0,1-ABS((MIN(MAX(Inputs!$B$33,0),60)/30)-1))+E13*MAX(0,(MIN(MAX(Inputs!$B$33,0),60)/30)-1)</f>
        <v>1171800</v>
      </c>
      <c r="H15" s="50">
        <f>H14+G15-(Monthly!S13-Monthly!R13)-D15*Monthly!Q13-Monthly!X13-Monthly!Y13</f>
        <v>-24706600</v>
      </c>
      <c r="I15" s="47" t="str">
        <f t="shared" si="0"/>
        <v/>
      </c>
      <c r="K15" s="48">
        <f>IF($A15=0,0,IF(OR(Inputs!$B$38&lt;=1,$A15&gt;=Inputs!$B$38),$N$4,Inputs!$B$36+($N$4-Inputs!$B$36)*($A15-1)/(Inputs!$B$38-1)))</f>
        <v>0.56818181818181812</v>
      </c>
      <c r="L15" s="49">
        <f>ROUNDDOWN(INT(Inputs!$B$7)*K15+0.000000001,0)</f>
        <v>113</v>
      </c>
      <c r="M15" s="50">
        <f>L15*Monthly!E13*$L$4</f>
        <v>1356000</v>
      </c>
      <c r="N15" s="50">
        <f>M15-(Monthly!S13-Monthly!R13)-L15*Monthly!Q13</f>
        <v>116500</v>
      </c>
      <c r="O15" s="50">
        <f>M15*MAX(0,1-(MIN(MAX(Inputs!$B$33,0),60)/30))+M14*MAX(0,1-ABS((MIN(MAX(Inputs!$B$33,0),60)/30)-1))+M13*MAX(0,(MIN(MAX(Inputs!$B$33,0),60)/30)-1)</f>
        <v>1302000</v>
      </c>
      <c r="P15" s="50">
        <f>P14+O15-(Monthly!S13-Monthly!R13)-L15*Monthly!Q13-Monthly!X13-Monthly!Y13</f>
        <v>-23992000</v>
      </c>
      <c r="Q15" s="47" t="str">
        <f t="shared" si="1"/>
        <v/>
      </c>
      <c r="S15" s="48">
        <f>IF($A15=0,0,IF(OR(Inputs!$B$38&lt;=1,$A15&gt;=Inputs!$B$38),$V$4,Inputs!$B$36+($V$4-Inputs!$B$36)*($A15-1)/(Inputs!$B$38-1)))</f>
        <v>0.56818181818181812</v>
      </c>
      <c r="T15" s="49">
        <f>ROUNDDOWN(INT(Inputs!$B$7)*S15+0.000000001,0)</f>
        <v>113</v>
      </c>
      <c r="U15" s="50">
        <f>T15*Monthly!E13*$T$4</f>
        <v>1491600.0000000002</v>
      </c>
      <c r="V15" s="50">
        <f>U15-(Monthly!S13-Monthly!R13)-T15*Monthly!Q13</f>
        <v>252100.00000000023</v>
      </c>
      <c r="W15" s="50">
        <f>U15*MAX(0,1-(MIN(MAX(Inputs!$B$33,0),60)/30))+U14*MAX(0,1-ABS((MIN(MAX(Inputs!$B$33,0),60)/30)-1))+U13*MAX(0,(MIN(MAX(Inputs!$B$33,0),60)/30)-1)</f>
        <v>1432200</v>
      </c>
      <c r="X15" s="50">
        <f>X14+W15-(Monthly!S13-Monthly!R13)-T15*Monthly!Q13-Monthly!X13-Monthly!Y13</f>
        <v>-23277400</v>
      </c>
      <c r="Y15" s="47" t="str">
        <f t="shared" si="2"/>
        <v/>
      </c>
      <c r="AA15" s="48">
        <f>IF($A15=0,0,IF(OR(Inputs!$B$38&lt;=1,$A15&gt;=Inputs!$B$38),$AD$4,Inputs!$B$36+($AD$4-Inputs!$B$36)*($A15-1)/(Inputs!$B$38-1)))</f>
        <v>0.63181818181818183</v>
      </c>
      <c r="AB15" s="49">
        <f>ROUNDDOWN(INT(Inputs!$B$7)*AA15+0.000000001,0)</f>
        <v>126</v>
      </c>
      <c r="AC15" s="50">
        <f>AB15*Monthly!E13*$AB$4</f>
        <v>1360800</v>
      </c>
      <c r="AD15" s="50">
        <f>AC15-(Monthly!S13-Monthly!R13)-AB15*Monthly!Q13</f>
        <v>101800</v>
      </c>
      <c r="AE15" s="50">
        <f>AC15*MAX(0,1-(MIN(MAX(Inputs!$B$33,0),60)/30))+AC14*MAX(0,1-ABS((MIN(MAX(Inputs!$B$33,0),60)/30)-1))+AC13*MAX(0,(MIN(MAX(Inputs!$B$33,0),60)/30)-1)</f>
        <v>1301400</v>
      </c>
      <c r="AF15" s="50">
        <f>AF14+AE15-(Monthly!S13-Monthly!R13)-AB15*Monthly!Q13-Monthly!X13-Monthly!Y13</f>
        <v>-24321100</v>
      </c>
      <c r="AG15" s="47" t="str">
        <f t="shared" si="3"/>
        <v/>
      </c>
      <c r="AI15" s="48">
        <f>IF($A15=0,0,IF(OR(Inputs!$B$38&lt;=1,$A15&gt;=Inputs!$B$38),$AL$4,Inputs!$B$36+($AL$4-Inputs!$B$36)*($A15-1)/(Inputs!$B$38-1)))</f>
        <v>0.63181818181818183</v>
      </c>
      <c r="AJ15" s="49">
        <f>ROUNDDOWN(INT(Inputs!$B$7)*AI15+0.000000001,0)</f>
        <v>126</v>
      </c>
      <c r="AK15" s="50">
        <f>AJ15*Monthly!E13*$AJ$4</f>
        <v>1512000</v>
      </c>
      <c r="AL15" s="50">
        <f>AK15-(Monthly!S13-Monthly!R13)-AJ15*Monthly!Q13</f>
        <v>253000</v>
      </c>
      <c r="AM15" s="50">
        <f>AK15*MAX(0,1-(MIN(MAX(Inputs!$B$33,0),60)/30))+AK14*MAX(0,1-ABS((MIN(MAX(Inputs!$B$33,0),60)/30)-1))+AK13*MAX(0,(MIN(MAX(Inputs!$B$33,0),60)/30)-1)</f>
        <v>1446000</v>
      </c>
      <c r="AN15" s="50">
        <f>AN14+AM15-(Monthly!S13-Monthly!R13)-AJ15*Monthly!Q13-Monthly!X13-Monthly!Y13</f>
        <v>-23555500</v>
      </c>
      <c r="AO15" s="47" t="str">
        <f t="shared" si="4"/>
        <v/>
      </c>
      <c r="AQ15" s="48">
        <f>IF($A15=0,0,IF(OR(Inputs!$B$38&lt;=1,$A15&gt;=Inputs!$B$38),$AT$4,Inputs!$B$36+($AT$4-Inputs!$B$36)*($A15-1)/(Inputs!$B$38-1)))</f>
        <v>0.63181818181818183</v>
      </c>
      <c r="AR15" s="49">
        <f>ROUNDDOWN(INT(Inputs!$B$7)*AQ15+0.000000001,0)</f>
        <v>126</v>
      </c>
      <c r="AS15" s="50">
        <f>AR15*Monthly!E13*$AR$4</f>
        <v>1663200.0000000002</v>
      </c>
      <c r="AT15" s="50">
        <f>AS15-(Monthly!S13-Monthly!R13)-AR15*Monthly!Q13</f>
        <v>404200.00000000023</v>
      </c>
      <c r="AU15" s="50">
        <f>AS15*MAX(0,1-(MIN(MAX(Inputs!$B$33,0),60)/30))+AS14*MAX(0,1-ABS((MIN(MAX(Inputs!$B$33,0),60)/30)-1))+AS13*MAX(0,(MIN(MAX(Inputs!$B$33,0),60)/30)-1)</f>
        <v>1590600.0000000002</v>
      </c>
      <c r="AV15" s="50">
        <f>AV14+AU15-(Monthly!S13-Monthly!R13)-AR15*Monthly!Q13-Monthly!X13-Monthly!Y13</f>
        <v>-22789900</v>
      </c>
      <c r="AW15" s="47" t="str">
        <f t="shared" si="5"/>
        <v/>
      </c>
      <c r="AY15" s="48">
        <f>IF($A15=0,0,IF(OR(Inputs!$B$38&lt;=1,$A15&gt;=Inputs!$B$38),$BB$4,Inputs!$B$36+($BB$4-Inputs!$B$36)*($A15-1)/(Inputs!$B$38-1)))</f>
        <v>0.69545454545454533</v>
      </c>
      <c r="AZ15" s="49">
        <f>ROUNDDOWN(INT(Inputs!$B$7)*AY15+0.000000001,0)</f>
        <v>139</v>
      </c>
      <c r="BA15" s="50">
        <f>AZ15*Monthly!E13*$AZ$4</f>
        <v>1501200</v>
      </c>
      <c r="BB15" s="50">
        <f>BA15-(Monthly!S13-Monthly!R13)-AZ15*Monthly!Q13</f>
        <v>222700</v>
      </c>
      <c r="BC15" s="50">
        <f>BA15*MAX(0,1-(MIN(MAX(Inputs!$B$33,0),60)/30))+BA14*MAX(0,1-ABS((MIN(MAX(Inputs!$B$33,0),60)/30)-1))+BA13*MAX(0,(MIN(MAX(Inputs!$B$33,0),60)/30)-1)</f>
        <v>1431000</v>
      </c>
      <c r="BD15" s="50">
        <f>BD14+BC15-(Monthly!S13-Monthly!R13)-AZ15*Monthly!Q13-Monthly!X13-Monthly!Y13</f>
        <v>-23907700</v>
      </c>
      <c r="BE15" s="47" t="str">
        <f t="shared" si="6"/>
        <v/>
      </c>
      <c r="BG15" s="48">
        <f>IF($A15=0,0,IF(OR(Inputs!$B$38&lt;=1,$A15&gt;=Inputs!$B$38),$BJ$4,Inputs!$B$36+($BJ$4-Inputs!$B$36)*($A15-1)/(Inputs!$B$38-1)))</f>
        <v>0.69545454545454533</v>
      </c>
      <c r="BH15" s="49">
        <f>ROUNDDOWN(INT(Inputs!$B$7)*BG15+0.000000001,0)</f>
        <v>139</v>
      </c>
      <c r="BI15" s="50">
        <f>BH15*Monthly!E13*$BH$4</f>
        <v>1668000</v>
      </c>
      <c r="BJ15" s="50">
        <f>BI15-(Monthly!S13-Monthly!R13)-BH15*Monthly!Q13</f>
        <v>389500</v>
      </c>
      <c r="BK15" s="50">
        <f>BI15*MAX(0,1-(MIN(MAX(Inputs!$B$33,0),60)/30))+BI14*MAX(0,1-ABS((MIN(MAX(Inputs!$B$33,0),60)/30)-1))+BI13*MAX(0,(MIN(MAX(Inputs!$B$33,0),60)/30)-1)</f>
        <v>1590000</v>
      </c>
      <c r="BL15" s="50">
        <f>BL14+BK15-(Monthly!S13-Monthly!R13)-BH15*Monthly!Q13-Monthly!X13-Monthly!Y13</f>
        <v>-23087500</v>
      </c>
      <c r="BM15" s="47" t="str">
        <f t="shared" si="7"/>
        <v/>
      </c>
      <c r="BO15" s="48">
        <f>IF($A15=0,0,IF(OR(Inputs!$B$38&lt;=1,$A15&gt;=Inputs!$B$38),$BR$4,Inputs!$B$36+($BR$4-Inputs!$B$36)*($A15-1)/(Inputs!$B$38-1)))</f>
        <v>0.69545454545454533</v>
      </c>
      <c r="BP15" s="49">
        <f>ROUNDDOWN(INT(Inputs!$B$7)*BO15+0.000000001,0)</f>
        <v>139</v>
      </c>
      <c r="BQ15" s="50">
        <f>BP15*Monthly!E13*$BP$4</f>
        <v>1834800.0000000002</v>
      </c>
      <c r="BR15" s="50">
        <f>BQ15-(Monthly!S13-Monthly!R13)-BP15*Monthly!Q13</f>
        <v>556300.00000000023</v>
      </c>
      <c r="BS15" s="50">
        <f>BQ15*MAX(0,1-(MIN(MAX(Inputs!$B$33,0),60)/30))+BQ14*MAX(0,1-ABS((MIN(MAX(Inputs!$B$33,0),60)/30)-1))+BQ13*MAX(0,(MIN(MAX(Inputs!$B$33,0),60)/30)-1)</f>
        <v>1749000.0000000002</v>
      </c>
      <c r="BT15" s="50">
        <f>BT14+BS15-(Monthly!S13-Monthly!R13)-BP15*Monthly!Q13-Monthly!X13-Monthly!Y13</f>
        <v>-22267300</v>
      </c>
      <c r="BU15" s="47" t="str">
        <f t="shared" si="8"/>
        <v/>
      </c>
    </row>
    <row r="16" spans="1:73" x14ac:dyDescent="0.2">
      <c r="A16" s="56">
        <f>Monthly!A14</f>
        <v>9</v>
      </c>
      <c r="B16" s="56">
        <f>Monthly!B14</f>
        <v>1</v>
      </c>
      <c r="C16" s="48">
        <f>IF($A16=0,0,IF(OR(Inputs!$B$38&lt;=1,$A16&gt;=Inputs!$B$38),$F$4,Inputs!$B$36+($F$4-Inputs!$B$36)*($A16-1)/(Inputs!$B$38-1)))</f>
        <v>0.61363636363636365</v>
      </c>
      <c r="D16" s="49">
        <f>ROUNDDOWN(INT(Inputs!$B$7)*C16+0.000000001,0)</f>
        <v>122</v>
      </c>
      <c r="E16" s="50">
        <f>D16*Monthly!E14*$D$4</f>
        <v>1317600</v>
      </c>
      <c r="F16" s="50">
        <f>E16-(Monthly!S14-Monthly!R14)-D16*Monthly!Q14</f>
        <v>64600</v>
      </c>
      <c r="G16" s="50">
        <f>E16*MAX(0,1-(MIN(MAX(Inputs!$B$33,0),60)/30))+E15*MAX(0,1-ABS((MIN(MAX(Inputs!$B$33,0),60)/30)-1))+E14*MAX(0,(MIN(MAX(Inputs!$B$33,0),60)/30)-1)</f>
        <v>1269000</v>
      </c>
      <c r="H16" s="50">
        <f>H15+G16-(Monthly!S14-Monthly!R14)-D16*Monthly!Q14-Monthly!X14-Monthly!Y14</f>
        <v>-24690600</v>
      </c>
      <c r="I16" s="47" t="str">
        <f t="shared" si="0"/>
        <v/>
      </c>
      <c r="K16" s="48">
        <f>IF($A16=0,0,IF(OR(Inputs!$B$38&lt;=1,$A16&gt;=Inputs!$B$38),$N$4,Inputs!$B$36+($N$4-Inputs!$B$36)*($A16-1)/(Inputs!$B$38-1)))</f>
        <v>0.61363636363636365</v>
      </c>
      <c r="L16" s="49">
        <f>ROUNDDOWN(INT(Inputs!$B$7)*K16+0.000000001,0)</f>
        <v>122</v>
      </c>
      <c r="M16" s="50">
        <f>L16*Monthly!E14*$L$4</f>
        <v>1464000</v>
      </c>
      <c r="N16" s="50">
        <f>M16-(Monthly!S14-Monthly!R14)-L16*Monthly!Q14</f>
        <v>211000</v>
      </c>
      <c r="O16" s="50">
        <f>M16*MAX(0,1-(MIN(MAX(Inputs!$B$33,0),60)/30))+M15*MAX(0,1-ABS((MIN(MAX(Inputs!$B$33,0),60)/30)-1))+M14*MAX(0,(MIN(MAX(Inputs!$B$33,0),60)/30)-1)</f>
        <v>1410000</v>
      </c>
      <c r="P16" s="50">
        <f>P15+O16-(Monthly!S14-Monthly!R14)-L16*Monthly!Q14-Monthly!X14-Monthly!Y14</f>
        <v>-23835000</v>
      </c>
      <c r="Q16" s="47" t="str">
        <f t="shared" si="1"/>
        <v/>
      </c>
      <c r="S16" s="48">
        <f>IF($A16=0,0,IF(OR(Inputs!$B$38&lt;=1,$A16&gt;=Inputs!$B$38),$V$4,Inputs!$B$36+($V$4-Inputs!$B$36)*($A16-1)/(Inputs!$B$38-1)))</f>
        <v>0.61363636363636365</v>
      </c>
      <c r="T16" s="49">
        <f>ROUNDDOWN(INT(Inputs!$B$7)*S16+0.000000001,0)</f>
        <v>122</v>
      </c>
      <c r="U16" s="50">
        <f>T16*Monthly!E14*$T$4</f>
        <v>1610400.0000000002</v>
      </c>
      <c r="V16" s="50">
        <f>U16-(Monthly!S14-Monthly!R14)-T16*Monthly!Q14</f>
        <v>357400.00000000023</v>
      </c>
      <c r="W16" s="50">
        <f>U16*MAX(0,1-(MIN(MAX(Inputs!$B$33,0),60)/30))+U15*MAX(0,1-ABS((MIN(MAX(Inputs!$B$33,0),60)/30)-1))+U14*MAX(0,(MIN(MAX(Inputs!$B$33,0),60)/30)-1)</f>
        <v>1551000.0000000002</v>
      </c>
      <c r="X16" s="50">
        <f>X15+W16-(Monthly!S14-Monthly!R14)-T16*Monthly!Q14-Monthly!X14-Monthly!Y14</f>
        <v>-22979400</v>
      </c>
      <c r="Y16" s="47" t="str">
        <f t="shared" si="2"/>
        <v/>
      </c>
      <c r="AA16" s="48">
        <f>IF($A16=0,0,IF(OR(Inputs!$B$38&lt;=1,$A16&gt;=Inputs!$B$38),$AD$4,Inputs!$B$36+($AD$4-Inputs!$B$36)*($A16-1)/(Inputs!$B$38-1)))</f>
        <v>0.68636363636363629</v>
      </c>
      <c r="AB16" s="49">
        <f>ROUNDDOWN(INT(Inputs!$B$7)*AA16+0.000000001,0)</f>
        <v>137</v>
      </c>
      <c r="AC16" s="50">
        <f>AB16*Monthly!E14*$AB$4</f>
        <v>1479600</v>
      </c>
      <c r="AD16" s="50">
        <f>AC16-(Monthly!S14-Monthly!R14)-AB16*Monthly!Q14</f>
        <v>204100</v>
      </c>
      <c r="AE16" s="50">
        <f>AC16*MAX(0,1-(MIN(MAX(Inputs!$B$33,0),60)/30))+AC15*MAX(0,1-ABS((MIN(MAX(Inputs!$B$33,0),60)/30)-1))+AC14*MAX(0,(MIN(MAX(Inputs!$B$33,0),60)/30)-1)</f>
        <v>1420200</v>
      </c>
      <c r="AF16" s="50">
        <f>AF15+AE16-(Monthly!S14-Monthly!R14)-AB16*Monthly!Q14-Monthly!X14-Monthly!Y14</f>
        <v>-24176400</v>
      </c>
      <c r="AG16" s="47" t="str">
        <f t="shared" si="3"/>
        <v/>
      </c>
      <c r="AI16" s="48">
        <f>IF($A16=0,0,IF(OR(Inputs!$B$38&lt;=1,$A16&gt;=Inputs!$B$38),$AL$4,Inputs!$B$36+($AL$4-Inputs!$B$36)*($A16-1)/(Inputs!$B$38-1)))</f>
        <v>0.68636363636363629</v>
      </c>
      <c r="AJ16" s="49">
        <f>ROUNDDOWN(INT(Inputs!$B$7)*AI16+0.000000001,0)</f>
        <v>137</v>
      </c>
      <c r="AK16" s="50">
        <f>AJ16*Monthly!E14*$AJ$4</f>
        <v>1644000</v>
      </c>
      <c r="AL16" s="50">
        <f>AK16-(Monthly!S14-Monthly!R14)-AJ16*Monthly!Q14</f>
        <v>368500</v>
      </c>
      <c r="AM16" s="50">
        <f>AK16*MAX(0,1-(MIN(MAX(Inputs!$B$33,0),60)/30))+AK15*MAX(0,1-ABS((MIN(MAX(Inputs!$B$33,0),60)/30)-1))+AK14*MAX(0,(MIN(MAX(Inputs!$B$33,0),60)/30)-1)</f>
        <v>1578000</v>
      </c>
      <c r="AN16" s="50">
        <f>AN15+AM16-(Monthly!S14-Monthly!R14)-AJ16*Monthly!Q14-Monthly!X14-Monthly!Y14</f>
        <v>-23253000</v>
      </c>
      <c r="AO16" s="47" t="str">
        <f t="shared" si="4"/>
        <v/>
      </c>
      <c r="AQ16" s="48">
        <f>IF($A16=0,0,IF(OR(Inputs!$B$38&lt;=1,$A16&gt;=Inputs!$B$38),$AT$4,Inputs!$B$36+($AT$4-Inputs!$B$36)*($A16-1)/(Inputs!$B$38-1)))</f>
        <v>0.68636363636363629</v>
      </c>
      <c r="AR16" s="49">
        <f>ROUNDDOWN(INT(Inputs!$B$7)*AQ16+0.000000001,0)</f>
        <v>137</v>
      </c>
      <c r="AS16" s="50">
        <f>AR16*Monthly!E14*$AR$4</f>
        <v>1808400.0000000002</v>
      </c>
      <c r="AT16" s="50">
        <f>AS16-(Monthly!S14-Monthly!R14)-AR16*Monthly!Q14</f>
        <v>532900.00000000023</v>
      </c>
      <c r="AU16" s="50">
        <f>AS16*MAX(0,1-(MIN(MAX(Inputs!$B$33,0),60)/30))+AS15*MAX(0,1-ABS((MIN(MAX(Inputs!$B$33,0),60)/30)-1))+AS14*MAX(0,(MIN(MAX(Inputs!$B$33,0),60)/30)-1)</f>
        <v>1735800.0000000002</v>
      </c>
      <c r="AV16" s="50">
        <f>AV15+AU16-(Monthly!S14-Monthly!R14)-AR16*Monthly!Q14-Monthly!X14-Monthly!Y14</f>
        <v>-22329600</v>
      </c>
      <c r="AW16" s="47" t="str">
        <f t="shared" si="5"/>
        <v/>
      </c>
      <c r="AY16" s="48">
        <f>IF($A16=0,0,IF(OR(Inputs!$B$38&lt;=1,$A16&gt;=Inputs!$B$38),$BB$4,Inputs!$B$36+($BB$4-Inputs!$B$36)*($A16-1)/(Inputs!$B$38-1)))</f>
        <v>0.75909090909090904</v>
      </c>
      <c r="AZ16" s="49">
        <f>ROUNDDOWN(INT(Inputs!$B$7)*AY16+0.000000001,0)</f>
        <v>151</v>
      </c>
      <c r="BA16" s="50">
        <f>AZ16*Monthly!E14*$AZ$4</f>
        <v>1630800</v>
      </c>
      <c r="BB16" s="50">
        <f>BA16-(Monthly!S14-Monthly!R14)-AZ16*Monthly!Q14</f>
        <v>334300</v>
      </c>
      <c r="BC16" s="50">
        <f>BA16*MAX(0,1-(MIN(MAX(Inputs!$B$33,0),60)/30))+BA15*MAX(0,1-ABS((MIN(MAX(Inputs!$B$33,0),60)/30)-1))+BA14*MAX(0,(MIN(MAX(Inputs!$B$33,0),60)/30)-1)</f>
        <v>1566000</v>
      </c>
      <c r="BD16" s="50">
        <f>BD15+BC16-(Monthly!S14-Monthly!R14)-AZ16*Monthly!Q14-Monthly!X14-Monthly!Y14</f>
        <v>-23638200</v>
      </c>
      <c r="BE16" s="47" t="str">
        <f t="shared" si="6"/>
        <v/>
      </c>
      <c r="BG16" s="48">
        <f>IF($A16=0,0,IF(OR(Inputs!$B$38&lt;=1,$A16&gt;=Inputs!$B$38),$BJ$4,Inputs!$B$36+($BJ$4-Inputs!$B$36)*($A16-1)/(Inputs!$B$38-1)))</f>
        <v>0.75909090909090904</v>
      </c>
      <c r="BH16" s="49">
        <f>ROUNDDOWN(INT(Inputs!$B$7)*BG16+0.000000001,0)</f>
        <v>151</v>
      </c>
      <c r="BI16" s="50">
        <f>BH16*Monthly!E14*$BH$4</f>
        <v>1812000</v>
      </c>
      <c r="BJ16" s="50">
        <f>BI16-(Monthly!S14-Monthly!R14)-BH16*Monthly!Q14</f>
        <v>515500</v>
      </c>
      <c r="BK16" s="50">
        <f>BI16*MAX(0,1-(MIN(MAX(Inputs!$B$33,0),60)/30))+BI15*MAX(0,1-ABS((MIN(MAX(Inputs!$B$33,0),60)/30)-1))+BI14*MAX(0,(MIN(MAX(Inputs!$B$33,0),60)/30)-1)</f>
        <v>1740000</v>
      </c>
      <c r="BL16" s="50">
        <f>BL15+BK16-(Monthly!S14-Monthly!R14)-BH16*Monthly!Q14-Monthly!X14-Monthly!Y14</f>
        <v>-22644000</v>
      </c>
      <c r="BM16" s="47" t="str">
        <f t="shared" si="7"/>
        <v/>
      </c>
      <c r="BO16" s="48">
        <f>IF($A16=0,0,IF(OR(Inputs!$B$38&lt;=1,$A16&gt;=Inputs!$B$38),$BR$4,Inputs!$B$36+($BR$4-Inputs!$B$36)*($A16-1)/(Inputs!$B$38-1)))</f>
        <v>0.75909090909090904</v>
      </c>
      <c r="BP16" s="49">
        <f>ROUNDDOWN(INT(Inputs!$B$7)*BO16+0.000000001,0)</f>
        <v>151</v>
      </c>
      <c r="BQ16" s="50">
        <f>BP16*Monthly!E14*$BP$4</f>
        <v>1993200.0000000002</v>
      </c>
      <c r="BR16" s="50">
        <f>BQ16-(Monthly!S14-Monthly!R14)-BP16*Monthly!Q14</f>
        <v>696700.00000000023</v>
      </c>
      <c r="BS16" s="50">
        <f>BQ16*MAX(0,1-(MIN(MAX(Inputs!$B$33,0),60)/30))+BQ15*MAX(0,1-ABS((MIN(MAX(Inputs!$B$33,0),60)/30)-1))+BQ14*MAX(0,(MIN(MAX(Inputs!$B$33,0),60)/30)-1)</f>
        <v>1914000.0000000002</v>
      </c>
      <c r="BT16" s="50">
        <f>BT15+BS16-(Monthly!S14-Monthly!R14)-BP16*Monthly!Q14-Monthly!X14-Monthly!Y14</f>
        <v>-21649800</v>
      </c>
      <c r="BU16" s="47" t="str">
        <f t="shared" si="8"/>
        <v/>
      </c>
    </row>
    <row r="17" spans="1:73" x14ac:dyDescent="0.2">
      <c r="A17" s="56">
        <f>Monthly!A15</f>
        <v>10</v>
      </c>
      <c r="B17" s="56">
        <f>Monthly!B15</f>
        <v>1</v>
      </c>
      <c r="C17" s="48">
        <f>IF($A17=0,0,IF(OR(Inputs!$B$38&lt;=1,$A17&gt;=Inputs!$B$38),$F$4,Inputs!$B$36+($F$4-Inputs!$B$36)*($A17-1)/(Inputs!$B$38-1)))</f>
        <v>0.65909090909090917</v>
      </c>
      <c r="D17" s="49">
        <f>ROUNDDOWN(INT(Inputs!$B$7)*C17+0.000000001,0)</f>
        <v>131</v>
      </c>
      <c r="E17" s="50">
        <f>D17*Monthly!E15*$D$4</f>
        <v>1414800</v>
      </c>
      <c r="F17" s="50">
        <f>E17-(Monthly!S15-Monthly!R15)-D17*Monthly!Q15</f>
        <v>148300</v>
      </c>
      <c r="G17" s="50">
        <f>E17*MAX(0,1-(MIN(MAX(Inputs!$B$33,0),60)/30))+E16*MAX(0,1-ABS((MIN(MAX(Inputs!$B$33,0),60)/30)-1))+E15*MAX(0,(MIN(MAX(Inputs!$B$33,0),60)/30)-1)</f>
        <v>1366200</v>
      </c>
      <c r="H17" s="50">
        <f>H16+G17-(Monthly!S15-Monthly!R15)-D17*Monthly!Q15-Monthly!X15-Monthly!Y15</f>
        <v>-24590900</v>
      </c>
      <c r="I17" s="47" t="str">
        <f t="shared" si="0"/>
        <v/>
      </c>
      <c r="K17" s="48">
        <f>IF($A17=0,0,IF(OR(Inputs!$B$38&lt;=1,$A17&gt;=Inputs!$B$38),$N$4,Inputs!$B$36+($N$4-Inputs!$B$36)*($A17-1)/(Inputs!$B$38-1)))</f>
        <v>0.65909090909090917</v>
      </c>
      <c r="L17" s="49">
        <f>ROUNDDOWN(INT(Inputs!$B$7)*K17+0.000000001,0)</f>
        <v>131</v>
      </c>
      <c r="M17" s="50">
        <f>L17*Monthly!E15*$L$4</f>
        <v>1572000</v>
      </c>
      <c r="N17" s="50">
        <f>M17-(Monthly!S15-Monthly!R15)-L17*Monthly!Q15</f>
        <v>305500</v>
      </c>
      <c r="O17" s="50">
        <f>M17*MAX(0,1-(MIN(MAX(Inputs!$B$33,0),60)/30))+M16*MAX(0,1-ABS((MIN(MAX(Inputs!$B$33,0),60)/30)-1))+M15*MAX(0,(MIN(MAX(Inputs!$B$33,0),60)/30)-1)</f>
        <v>1518000</v>
      </c>
      <c r="P17" s="50">
        <f>P16+O17-(Monthly!S15-Monthly!R15)-L17*Monthly!Q15-Monthly!X15-Monthly!Y15</f>
        <v>-23583500</v>
      </c>
      <c r="Q17" s="47" t="str">
        <f t="shared" si="1"/>
        <v/>
      </c>
      <c r="S17" s="48">
        <f>IF($A17=0,0,IF(OR(Inputs!$B$38&lt;=1,$A17&gt;=Inputs!$B$38),$V$4,Inputs!$B$36+($V$4-Inputs!$B$36)*($A17-1)/(Inputs!$B$38-1)))</f>
        <v>0.65909090909090917</v>
      </c>
      <c r="T17" s="49">
        <f>ROUNDDOWN(INT(Inputs!$B$7)*S17+0.000000001,0)</f>
        <v>131</v>
      </c>
      <c r="U17" s="50">
        <f>T17*Monthly!E15*$T$4</f>
        <v>1729200.0000000002</v>
      </c>
      <c r="V17" s="50">
        <f>U17-(Monthly!S15-Monthly!R15)-T17*Monthly!Q15</f>
        <v>462700.00000000023</v>
      </c>
      <c r="W17" s="50">
        <f>U17*MAX(0,1-(MIN(MAX(Inputs!$B$33,0),60)/30))+U16*MAX(0,1-ABS((MIN(MAX(Inputs!$B$33,0),60)/30)-1))+U15*MAX(0,(MIN(MAX(Inputs!$B$33,0),60)/30)-1)</f>
        <v>1669800.0000000002</v>
      </c>
      <c r="X17" s="50">
        <f>X16+W17-(Monthly!S15-Monthly!R15)-T17*Monthly!Q15-Monthly!X15-Monthly!Y15</f>
        <v>-22576100</v>
      </c>
      <c r="Y17" s="47" t="str">
        <f t="shared" si="2"/>
        <v/>
      </c>
      <c r="AA17" s="48">
        <f>IF($A17=0,0,IF(OR(Inputs!$B$38&lt;=1,$A17&gt;=Inputs!$B$38),$AD$4,Inputs!$B$36+($AD$4-Inputs!$B$36)*($A17-1)/(Inputs!$B$38-1)))</f>
        <v>0.74090909090909085</v>
      </c>
      <c r="AB17" s="49">
        <f>ROUNDDOWN(INT(Inputs!$B$7)*AA17+0.000000001,0)</f>
        <v>148</v>
      </c>
      <c r="AC17" s="50">
        <f>AB17*Monthly!E15*$AB$4</f>
        <v>1598400</v>
      </c>
      <c r="AD17" s="50">
        <f>AC17-(Monthly!S15-Monthly!R15)-AB17*Monthly!Q15</f>
        <v>306400</v>
      </c>
      <c r="AE17" s="50">
        <f>AC17*MAX(0,1-(MIN(MAX(Inputs!$B$33,0),60)/30))+AC16*MAX(0,1-ABS((MIN(MAX(Inputs!$B$33,0),60)/30)-1))+AC15*MAX(0,(MIN(MAX(Inputs!$B$33,0),60)/30)-1)</f>
        <v>1539000</v>
      </c>
      <c r="AF17" s="50">
        <f>AF16+AE17-(Monthly!S15-Monthly!R15)-AB17*Monthly!Q15-Monthly!X15-Monthly!Y15</f>
        <v>-23929400</v>
      </c>
      <c r="AG17" s="47" t="str">
        <f t="shared" si="3"/>
        <v/>
      </c>
      <c r="AI17" s="48">
        <f>IF($A17=0,0,IF(OR(Inputs!$B$38&lt;=1,$A17&gt;=Inputs!$B$38),$AL$4,Inputs!$B$36+($AL$4-Inputs!$B$36)*($A17-1)/(Inputs!$B$38-1)))</f>
        <v>0.74090909090909085</v>
      </c>
      <c r="AJ17" s="49">
        <f>ROUNDDOWN(INT(Inputs!$B$7)*AI17+0.000000001,0)</f>
        <v>148</v>
      </c>
      <c r="AK17" s="50">
        <f>AJ17*Monthly!E15*$AJ$4</f>
        <v>1776000</v>
      </c>
      <c r="AL17" s="50">
        <f>AK17-(Monthly!S15-Monthly!R15)-AJ17*Monthly!Q15</f>
        <v>484000</v>
      </c>
      <c r="AM17" s="50">
        <f>AK17*MAX(0,1-(MIN(MAX(Inputs!$B$33,0),60)/30))+AK16*MAX(0,1-ABS((MIN(MAX(Inputs!$B$33,0),60)/30)-1))+AK15*MAX(0,(MIN(MAX(Inputs!$B$33,0),60)/30)-1)</f>
        <v>1710000</v>
      </c>
      <c r="AN17" s="50">
        <f>AN16+AM17-(Monthly!S15-Monthly!R15)-AJ17*Monthly!Q15-Monthly!X15-Monthly!Y15</f>
        <v>-22835000</v>
      </c>
      <c r="AO17" s="47" t="str">
        <f t="shared" si="4"/>
        <v/>
      </c>
      <c r="AQ17" s="48">
        <f>IF($A17=0,0,IF(OR(Inputs!$B$38&lt;=1,$A17&gt;=Inputs!$B$38),$AT$4,Inputs!$B$36+($AT$4-Inputs!$B$36)*($A17-1)/(Inputs!$B$38-1)))</f>
        <v>0.74090909090909085</v>
      </c>
      <c r="AR17" s="49">
        <f>ROUNDDOWN(INT(Inputs!$B$7)*AQ17+0.000000001,0)</f>
        <v>148</v>
      </c>
      <c r="AS17" s="50">
        <f>AR17*Monthly!E15*$AR$4</f>
        <v>1953600.0000000002</v>
      </c>
      <c r="AT17" s="50">
        <f>AS17-(Monthly!S15-Monthly!R15)-AR17*Monthly!Q15</f>
        <v>661600.00000000023</v>
      </c>
      <c r="AU17" s="50">
        <f>AS17*MAX(0,1-(MIN(MAX(Inputs!$B$33,0),60)/30))+AS16*MAX(0,1-ABS((MIN(MAX(Inputs!$B$33,0),60)/30)-1))+AS15*MAX(0,(MIN(MAX(Inputs!$B$33,0),60)/30)-1)</f>
        <v>1881000.0000000002</v>
      </c>
      <c r="AV17" s="50">
        <f>AV16+AU17-(Monthly!S15-Monthly!R15)-AR17*Monthly!Q15-Monthly!X15-Monthly!Y15</f>
        <v>-21740600</v>
      </c>
      <c r="AW17" s="47" t="str">
        <f t="shared" si="5"/>
        <v/>
      </c>
      <c r="AY17" s="48">
        <f>IF($A17=0,0,IF(OR(Inputs!$B$38&lt;=1,$A17&gt;=Inputs!$B$38),$BB$4,Inputs!$B$36+($BB$4-Inputs!$B$36)*($A17-1)/(Inputs!$B$38-1)))</f>
        <v>0.82272727272727275</v>
      </c>
      <c r="AZ17" s="49">
        <f>ROUNDDOWN(INT(Inputs!$B$7)*AY17+0.000000001,0)</f>
        <v>164</v>
      </c>
      <c r="BA17" s="50">
        <f>AZ17*Monthly!E15*$AZ$4</f>
        <v>1771200</v>
      </c>
      <c r="BB17" s="50">
        <f>BA17-(Monthly!S15-Monthly!R15)-AZ17*Monthly!Q15</f>
        <v>455200</v>
      </c>
      <c r="BC17" s="50">
        <f>BA17*MAX(0,1-(MIN(MAX(Inputs!$B$33,0),60)/30))+BA16*MAX(0,1-ABS((MIN(MAX(Inputs!$B$33,0),60)/30)-1))+BA15*MAX(0,(MIN(MAX(Inputs!$B$33,0),60)/30)-1)</f>
        <v>1701000</v>
      </c>
      <c r="BD17" s="50">
        <f>BD16+BC17-(Monthly!S15-Monthly!R15)-AZ17*Monthly!Q15-Monthly!X15-Monthly!Y15</f>
        <v>-23253200</v>
      </c>
      <c r="BE17" s="47" t="str">
        <f t="shared" si="6"/>
        <v/>
      </c>
      <c r="BG17" s="48">
        <f>IF($A17=0,0,IF(OR(Inputs!$B$38&lt;=1,$A17&gt;=Inputs!$B$38),$BJ$4,Inputs!$B$36+($BJ$4-Inputs!$B$36)*($A17-1)/(Inputs!$B$38-1)))</f>
        <v>0.82272727272727275</v>
      </c>
      <c r="BH17" s="49">
        <f>ROUNDDOWN(INT(Inputs!$B$7)*BG17+0.000000001,0)</f>
        <v>164</v>
      </c>
      <c r="BI17" s="50">
        <f>BH17*Monthly!E15*$BH$4</f>
        <v>1968000</v>
      </c>
      <c r="BJ17" s="50">
        <f>BI17-(Monthly!S15-Monthly!R15)-BH17*Monthly!Q15</f>
        <v>652000</v>
      </c>
      <c r="BK17" s="50">
        <f>BI17*MAX(0,1-(MIN(MAX(Inputs!$B$33,0),60)/30))+BI16*MAX(0,1-ABS((MIN(MAX(Inputs!$B$33,0),60)/30)-1))+BI15*MAX(0,(MIN(MAX(Inputs!$B$33,0),60)/30)-1)</f>
        <v>1890000</v>
      </c>
      <c r="BL17" s="50">
        <f>BL16+BK17-(Monthly!S15-Monthly!R15)-BH17*Monthly!Q15-Monthly!X15-Monthly!Y15</f>
        <v>-22070000</v>
      </c>
      <c r="BM17" s="47" t="str">
        <f t="shared" si="7"/>
        <v/>
      </c>
      <c r="BO17" s="48">
        <f>IF($A17=0,0,IF(OR(Inputs!$B$38&lt;=1,$A17&gt;=Inputs!$B$38),$BR$4,Inputs!$B$36+($BR$4-Inputs!$B$36)*($A17-1)/(Inputs!$B$38-1)))</f>
        <v>0.82272727272727275</v>
      </c>
      <c r="BP17" s="49">
        <f>ROUNDDOWN(INT(Inputs!$B$7)*BO17+0.000000001,0)</f>
        <v>164</v>
      </c>
      <c r="BQ17" s="50">
        <f>BP17*Monthly!E15*$BP$4</f>
        <v>2164800</v>
      </c>
      <c r="BR17" s="50">
        <f>BQ17-(Monthly!S15-Monthly!R15)-BP17*Monthly!Q15</f>
        <v>848800</v>
      </c>
      <c r="BS17" s="50">
        <f>BQ17*MAX(0,1-(MIN(MAX(Inputs!$B$33,0),60)/30))+BQ16*MAX(0,1-ABS((MIN(MAX(Inputs!$B$33,0),60)/30)-1))+BQ15*MAX(0,(MIN(MAX(Inputs!$B$33,0),60)/30)-1)</f>
        <v>2079000</v>
      </c>
      <c r="BT17" s="50">
        <f>BT16+BS17-(Monthly!S15-Monthly!R15)-BP17*Monthly!Q15-Monthly!X15-Monthly!Y15</f>
        <v>-20886800</v>
      </c>
      <c r="BU17" s="47" t="str">
        <f t="shared" si="8"/>
        <v/>
      </c>
    </row>
    <row r="18" spans="1:73" x14ac:dyDescent="0.2">
      <c r="A18" s="56">
        <f>Monthly!A16</f>
        <v>11</v>
      </c>
      <c r="B18" s="56">
        <f>Monthly!B16</f>
        <v>1</v>
      </c>
      <c r="C18" s="48">
        <f>IF($A18=0,0,IF(OR(Inputs!$B$38&lt;=1,$A18&gt;=Inputs!$B$38),$F$4,Inputs!$B$36+($F$4-Inputs!$B$36)*($A18-1)/(Inputs!$B$38-1)))</f>
        <v>0.70454545454545459</v>
      </c>
      <c r="D18" s="49">
        <f>ROUNDDOWN(INT(Inputs!$B$7)*C18+0.000000001,0)</f>
        <v>140</v>
      </c>
      <c r="E18" s="50">
        <f>D18*Monthly!E16*$D$4</f>
        <v>1512000</v>
      </c>
      <c r="F18" s="50">
        <f>E18-(Monthly!S16-Monthly!R16)-D18*Monthly!Q16</f>
        <v>232000</v>
      </c>
      <c r="G18" s="50">
        <f>E18*MAX(0,1-(MIN(MAX(Inputs!$B$33,0),60)/30))+E17*MAX(0,1-ABS((MIN(MAX(Inputs!$B$33,0),60)/30)-1))+E16*MAX(0,(MIN(MAX(Inputs!$B$33,0),60)/30)-1)</f>
        <v>1463400</v>
      </c>
      <c r="H18" s="50">
        <f>H17+G18-(Monthly!S16-Monthly!R16)-D18*Monthly!Q16-Monthly!X16-Monthly!Y16</f>
        <v>-24407500</v>
      </c>
      <c r="I18" s="47" t="str">
        <f t="shared" si="0"/>
        <v/>
      </c>
      <c r="K18" s="48">
        <f>IF($A18=0,0,IF(OR(Inputs!$B$38&lt;=1,$A18&gt;=Inputs!$B$38),$N$4,Inputs!$B$36+($N$4-Inputs!$B$36)*($A18-1)/(Inputs!$B$38-1)))</f>
        <v>0.70454545454545459</v>
      </c>
      <c r="L18" s="49">
        <f>ROUNDDOWN(INT(Inputs!$B$7)*K18+0.000000001,0)</f>
        <v>140</v>
      </c>
      <c r="M18" s="50">
        <f>L18*Monthly!E16*$L$4</f>
        <v>1680000</v>
      </c>
      <c r="N18" s="50">
        <f>M18-(Monthly!S16-Monthly!R16)-L18*Monthly!Q16</f>
        <v>400000</v>
      </c>
      <c r="O18" s="50">
        <f>M18*MAX(0,1-(MIN(MAX(Inputs!$B$33,0),60)/30))+M17*MAX(0,1-ABS((MIN(MAX(Inputs!$B$33,0),60)/30)-1))+M16*MAX(0,(MIN(MAX(Inputs!$B$33,0),60)/30)-1)</f>
        <v>1626000</v>
      </c>
      <c r="P18" s="50">
        <f>P17+O18-(Monthly!S16-Monthly!R16)-L18*Monthly!Q16-Monthly!X16-Monthly!Y16</f>
        <v>-23237500</v>
      </c>
      <c r="Q18" s="47" t="str">
        <f t="shared" si="1"/>
        <v/>
      </c>
      <c r="S18" s="48">
        <f>IF($A18=0,0,IF(OR(Inputs!$B$38&lt;=1,$A18&gt;=Inputs!$B$38),$V$4,Inputs!$B$36+($V$4-Inputs!$B$36)*($A18-1)/(Inputs!$B$38-1)))</f>
        <v>0.70454545454545459</v>
      </c>
      <c r="T18" s="49">
        <f>ROUNDDOWN(INT(Inputs!$B$7)*S18+0.000000001,0)</f>
        <v>140</v>
      </c>
      <c r="U18" s="50">
        <f>T18*Monthly!E16*$T$4</f>
        <v>1848000.0000000002</v>
      </c>
      <c r="V18" s="50">
        <f>U18-(Monthly!S16-Monthly!R16)-T18*Monthly!Q16</f>
        <v>568000.00000000023</v>
      </c>
      <c r="W18" s="50">
        <f>U18*MAX(0,1-(MIN(MAX(Inputs!$B$33,0),60)/30))+U17*MAX(0,1-ABS((MIN(MAX(Inputs!$B$33,0),60)/30)-1))+U16*MAX(0,(MIN(MAX(Inputs!$B$33,0),60)/30)-1)</f>
        <v>1788600.0000000002</v>
      </c>
      <c r="X18" s="50">
        <f>X17+W18-(Monthly!S16-Monthly!R16)-T18*Monthly!Q16-Monthly!X16-Monthly!Y16</f>
        <v>-22067500</v>
      </c>
      <c r="Y18" s="47" t="str">
        <f t="shared" si="2"/>
        <v/>
      </c>
      <c r="AA18" s="48">
        <f>IF($A18=0,0,IF(OR(Inputs!$B$38&lt;=1,$A18&gt;=Inputs!$B$38),$AD$4,Inputs!$B$36+($AD$4-Inputs!$B$36)*($A18-1)/(Inputs!$B$38-1)))</f>
        <v>0.79545454545454541</v>
      </c>
      <c r="AB18" s="49">
        <f>ROUNDDOWN(INT(Inputs!$B$7)*AA18+0.000000001,0)</f>
        <v>159</v>
      </c>
      <c r="AC18" s="50">
        <f>AB18*Monthly!E16*$AB$4</f>
        <v>1717200</v>
      </c>
      <c r="AD18" s="50">
        <f>AC18-(Monthly!S16-Monthly!R16)-AB18*Monthly!Q16</f>
        <v>408700</v>
      </c>
      <c r="AE18" s="50">
        <f>AC18*MAX(0,1-(MIN(MAX(Inputs!$B$33,0),60)/30))+AC17*MAX(0,1-ABS((MIN(MAX(Inputs!$B$33,0),60)/30)-1))+AC16*MAX(0,(MIN(MAX(Inputs!$B$33,0),60)/30)-1)</f>
        <v>1657800</v>
      </c>
      <c r="AF18" s="50">
        <f>AF17+AE18-(Monthly!S16-Monthly!R16)-AB18*Monthly!Q16-Monthly!X16-Monthly!Y16</f>
        <v>-23580100</v>
      </c>
      <c r="AG18" s="47" t="str">
        <f t="shared" si="3"/>
        <v/>
      </c>
      <c r="AI18" s="48">
        <f>IF($A18=0,0,IF(OR(Inputs!$B$38&lt;=1,$A18&gt;=Inputs!$B$38),$AL$4,Inputs!$B$36+($AL$4-Inputs!$B$36)*($A18-1)/(Inputs!$B$38-1)))</f>
        <v>0.79545454545454541</v>
      </c>
      <c r="AJ18" s="49">
        <f>ROUNDDOWN(INT(Inputs!$B$7)*AI18+0.000000001,0)</f>
        <v>159</v>
      </c>
      <c r="AK18" s="50">
        <f>AJ18*Monthly!E16*$AJ$4</f>
        <v>1908000</v>
      </c>
      <c r="AL18" s="50">
        <f>AK18-(Monthly!S16-Monthly!R16)-AJ18*Monthly!Q16</f>
        <v>599500</v>
      </c>
      <c r="AM18" s="50">
        <f>AK18*MAX(0,1-(MIN(MAX(Inputs!$B$33,0),60)/30))+AK17*MAX(0,1-ABS((MIN(MAX(Inputs!$B$33,0),60)/30)-1))+AK16*MAX(0,(MIN(MAX(Inputs!$B$33,0),60)/30)-1)</f>
        <v>1842000</v>
      </c>
      <c r="AN18" s="50">
        <f>AN17+AM18-(Monthly!S16-Monthly!R16)-AJ18*Monthly!Q16-Monthly!X16-Monthly!Y16</f>
        <v>-22301500</v>
      </c>
      <c r="AO18" s="47" t="str">
        <f t="shared" si="4"/>
        <v/>
      </c>
      <c r="AQ18" s="48">
        <f>IF($A18=0,0,IF(OR(Inputs!$B$38&lt;=1,$A18&gt;=Inputs!$B$38),$AT$4,Inputs!$B$36+($AT$4-Inputs!$B$36)*($A18-1)/(Inputs!$B$38-1)))</f>
        <v>0.79545454545454541</v>
      </c>
      <c r="AR18" s="49">
        <f>ROUNDDOWN(INT(Inputs!$B$7)*AQ18+0.000000001,0)</f>
        <v>159</v>
      </c>
      <c r="AS18" s="50">
        <f>AR18*Monthly!E16*$AR$4</f>
        <v>2098800</v>
      </c>
      <c r="AT18" s="50">
        <f>AS18-(Monthly!S16-Monthly!R16)-AR18*Monthly!Q16</f>
        <v>790300</v>
      </c>
      <c r="AU18" s="50">
        <f>AS18*MAX(0,1-(MIN(MAX(Inputs!$B$33,0),60)/30))+AS17*MAX(0,1-ABS((MIN(MAX(Inputs!$B$33,0),60)/30)-1))+AS16*MAX(0,(MIN(MAX(Inputs!$B$33,0),60)/30)-1)</f>
        <v>2026200</v>
      </c>
      <c r="AV18" s="50">
        <f>AV17+AU18-(Monthly!S16-Monthly!R16)-AR18*Monthly!Q16-Monthly!X16-Monthly!Y16</f>
        <v>-21022900</v>
      </c>
      <c r="AW18" s="47" t="str">
        <f t="shared" si="5"/>
        <v/>
      </c>
      <c r="AY18" s="48">
        <f>IF($A18=0,0,IF(OR(Inputs!$B$38&lt;=1,$A18&gt;=Inputs!$B$38),$BB$4,Inputs!$B$36+($BB$4-Inputs!$B$36)*($A18-1)/(Inputs!$B$38-1)))</f>
        <v>0.88636363636363635</v>
      </c>
      <c r="AZ18" s="49">
        <f>ROUNDDOWN(INT(Inputs!$B$7)*AY18+0.000000001,0)</f>
        <v>177</v>
      </c>
      <c r="BA18" s="50">
        <f>AZ18*Monthly!E16*$AZ$4</f>
        <v>1911600</v>
      </c>
      <c r="BB18" s="50">
        <f>BA18-(Monthly!S16-Monthly!R16)-AZ18*Monthly!Q16</f>
        <v>576100</v>
      </c>
      <c r="BC18" s="50">
        <f>BA18*MAX(0,1-(MIN(MAX(Inputs!$B$33,0),60)/30))+BA17*MAX(0,1-ABS((MIN(MAX(Inputs!$B$33,0),60)/30)-1))+BA16*MAX(0,(MIN(MAX(Inputs!$B$33,0),60)/30)-1)</f>
        <v>1841400</v>
      </c>
      <c r="BD18" s="50">
        <f>BD17+BC18-(Monthly!S16-Monthly!R16)-AZ18*Monthly!Q16-Monthly!X16-Monthly!Y16</f>
        <v>-22747300</v>
      </c>
      <c r="BE18" s="47" t="str">
        <f t="shared" si="6"/>
        <v/>
      </c>
      <c r="BG18" s="48">
        <f>IF($A18=0,0,IF(OR(Inputs!$B$38&lt;=1,$A18&gt;=Inputs!$B$38),$BJ$4,Inputs!$B$36+($BJ$4-Inputs!$B$36)*($A18-1)/(Inputs!$B$38-1)))</f>
        <v>0.88636363636363635</v>
      </c>
      <c r="BH18" s="49">
        <f>ROUNDDOWN(INT(Inputs!$B$7)*BG18+0.000000001,0)</f>
        <v>177</v>
      </c>
      <c r="BI18" s="50">
        <f>BH18*Monthly!E16*$BH$4</f>
        <v>2124000</v>
      </c>
      <c r="BJ18" s="50">
        <f>BI18-(Monthly!S16-Monthly!R16)-BH18*Monthly!Q16</f>
        <v>788500</v>
      </c>
      <c r="BK18" s="50">
        <f>BI18*MAX(0,1-(MIN(MAX(Inputs!$B$33,0),60)/30))+BI17*MAX(0,1-ABS((MIN(MAX(Inputs!$B$33,0),60)/30)-1))+BI16*MAX(0,(MIN(MAX(Inputs!$B$33,0),60)/30)-1)</f>
        <v>2046000</v>
      </c>
      <c r="BL18" s="50">
        <f>BL17+BK18-(Monthly!S16-Monthly!R16)-BH18*Monthly!Q16-Monthly!X16-Monthly!Y16</f>
        <v>-21359500</v>
      </c>
      <c r="BM18" s="47" t="str">
        <f t="shared" si="7"/>
        <v/>
      </c>
      <c r="BO18" s="48">
        <f>IF($A18=0,0,IF(OR(Inputs!$B$38&lt;=1,$A18&gt;=Inputs!$B$38),$BR$4,Inputs!$B$36+($BR$4-Inputs!$B$36)*($A18-1)/(Inputs!$B$38-1)))</f>
        <v>0.88636363636363635</v>
      </c>
      <c r="BP18" s="49">
        <f>ROUNDDOWN(INT(Inputs!$B$7)*BO18+0.000000001,0)</f>
        <v>177</v>
      </c>
      <c r="BQ18" s="50">
        <f>BP18*Monthly!E16*$BP$4</f>
        <v>2336400</v>
      </c>
      <c r="BR18" s="50">
        <f>BQ18-(Monthly!S16-Monthly!R16)-BP18*Monthly!Q16</f>
        <v>1000900</v>
      </c>
      <c r="BS18" s="50">
        <f>BQ18*MAX(0,1-(MIN(MAX(Inputs!$B$33,0),60)/30))+BQ17*MAX(0,1-ABS((MIN(MAX(Inputs!$B$33,0),60)/30)-1))+BQ16*MAX(0,(MIN(MAX(Inputs!$B$33,0),60)/30)-1)</f>
        <v>2250600</v>
      </c>
      <c r="BT18" s="50">
        <f>BT17+BS18-(Monthly!S16-Monthly!R16)-BP18*Monthly!Q16-Monthly!X16-Monthly!Y16</f>
        <v>-19971700</v>
      </c>
      <c r="BU18" s="47" t="str">
        <f t="shared" si="8"/>
        <v/>
      </c>
    </row>
    <row r="19" spans="1:73" x14ac:dyDescent="0.2">
      <c r="A19" s="56">
        <f>Monthly!A17</f>
        <v>12</v>
      </c>
      <c r="B19" s="56">
        <f>Monthly!B17</f>
        <v>1</v>
      </c>
      <c r="C19" s="48">
        <f>IF($A19=0,0,IF(OR(Inputs!$B$38&lt;=1,$A19&gt;=Inputs!$B$38),$F$4,Inputs!$B$36+($F$4-Inputs!$B$36)*($A19-1)/(Inputs!$B$38-1)))</f>
        <v>0.75</v>
      </c>
      <c r="D19" s="49">
        <f>ROUNDDOWN(INT(Inputs!$B$7)*C19+0.000000001,0)</f>
        <v>150</v>
      </c>
      <c r="E19" s="50">
        <f>D19*Monthly!E17*$D$4</f>
        <v>1620000</v>
      </c>
      <c r="F19" s="50">
        <f>E19-(Monthly!S17-Monthly!R17)-D19*Monthly!Q17</f>
        <v>325000</v>
      </c>
      <c r="G19" s="50">
        <f>E19*MAX(0,1-(MIN(MAX(Inputs!$B$33,0),60)/30))+E18*MAX(0,1-ABS((MIN(MAX(Inputs!$B$33,0),60)/30)-1))+E17*MAX(0,(MIN(MAX(Inputs!$B$33,0),60)/30)-1)</f>
        <v>1566000</v>
      </c>
      <c r="H19" s="50">
        <f>H18+G19-(Monthly!S17-Monthly!R17)-D19*Monthly!Q17-Monthly!X17-Monthly!Y17</f>
        <v>-24136500</v>
      </c>
      <c r="I19" s="47" t="str">
        <f t="shared" si="0"/>
        <v/>
      </c>
      <c r="K19" s="48">
        <f>IF($A19=0,0,IF(OR(Inputs!$B$38&lt;=1,$A19&gt;=Inputs!$B$38),$N$4,Inputs!$B$36+($N$4-Inputs!$B$36)*($A19-1)/(Inputs!$B$38-1)))</f>
        <v>0.75</v>
      </c>
      <c r="L19" s="49">
        <f>ROUNDDOWN(INT(Inputs!$B$7)*K19+0.000000001,0)</f>
        <v>150</v>
      </c>
      <c r="M19" s="50">
        <f>L19*Monthly!E17*$L$4</f>
        <v>1800000</v>
      </c>
      <c r="N19" s="50">
        <f>M19-(Monthly!S17-Monthly!R17)-L19*Monthly!Q17</f>
        <v>505000</v>
      </c>
      <c r="O19" s="50">
        <f>M19*MAX(0,1-(MIN(MAX(Inputs!$B$33,0),60)/30))+M18*MAX(0,1-ABS((MIN(MAX(Inputs!$B$33,0),60)/30)-1))+M17*MAX(0,(MIN(MAX(Inputs!$B$33,0),60)/30)-1)</f>
        <v>1740000</v>
      </c>
      <c r="P19" s="50">
        <f>P18+O19-(Monthly!S17-Monthly!R17)-L19*Monthly!Q17-Monthly!X17-Monthly!Y17</f>
        <v>-22792500</v>
      </c>
      <c r="Q19" s="47" t="str">
        <f t="shared" si="1"/>
        <v/>
      </c>
      <c r="S19" s="48">
        <f>IF($A19=0,0,IF(OR(Inputs!$B$38&lt;=1,$A19&gt;=Inputs!$B$38),$V$4,Inputs!$B$36+($V$4-Inputs!$B$36)*($A19-1)/(Inputs!$B$38-1)))</f>
        <v>0.75</v>
      </c>
      <c r="T19" s="49">
        <f>ROUNDDOWN(INT(Inputs!$B$7)*S19+0.000000001,0)</f>
        <v>150</v>
      </c>
      <c r="U19" s="50">
        <f>T19*Monthly!E17*$T$4</f>
        <v>1980000.0000000002</v>
      </c>
      <c r="V19" s="50">
        <f>U19-(Monthly!S17-Monthly!R17)-T19*Monthly!Q17</f>
        <v>685000.00000000023</v>
      </c>
      <c r="W19" s="50">
        <f>U19*MAX(0,1-(MIN(MAX(Inputs!$B$33,0),60)/30))+U18*MAX(0,1-ABS((MIN(MAX(Inputs!$B$33,0),60)/30)-1))+U17*MAX(0,(MIN(MAX(Inputs!$B$33,0),60)/30)-1)</f>
        <v>1914000.0000000002</v>
      </c>
      <c r="X19" s="50">
        <f>X18+W19-(Monthly!S17-Monthly!R17)-T19*Monthly!Q17-Monthly!X17-Monthly!Y17</f>
        <v>-21448500</v>
      </c>
      <c r="Y19" s="47" t="str">
        <f t="shared" si="2"/>
        <v/>
      </c>
      <c r="AA19" s="48">
        <f>IF($A19=0,0,IF(OR(Inputs!$B$38&lt;=1,$A19&gt;=Inputs!$B$38),$AD$4,Inputs!$B$36+($AD$4-Inputs!$B$36)*($A19-1)/(Inputs!$B$38-1)))</f>
        <v>0.85</v>
      </c>
      <c r="AB19" s="49">
        <f>ROUNDDOWN(INT(Inputs!$B$7)*AA19+0.000000001,0)</f>
        <v>170</v>
      </c>
      <c r="AC19" s="50">
        <f>AB19*Monthly!E17*$AB$4</f>
        <v>1836000</v>
      </c>
      <c r="AD19" s="50">
        <f>AC19-(Monthly!S17-Monthly!R17)-AB19*Monthly!Q17</f>
        <v>511000</v>
      </c>
      <c r="AE19" s="50">
        <f>AC19*MAX(0,1-(MIN(MAX(Inputs!$B$33,0),60)/30))+AC18*MAX(0,1-ABS((MIN(MAX(Inputs!$B$33,0),60)/30)-1))+AC17*MAX(0,(MIN(MAX(Inputs!$B$33,0),60)/30)-1)</f>
        <v>1776600</v>
      </c>
      <c r="AF19" s="50">
        <f>AF18+AE19-(Monthly!S17-Monthly!R17)-AB19*Monthly!Q17-Monthly!X17-Monthly!Y17</f>
        <v>-23128500</v>
      </c>
      <c r="AG19" s="47" t="str">
        <f t="shared" si="3"/>
        <v/>
      </c>
      <c r="AI19" s="48">
        <f>IF($A19=0,0,IF(OR(Inputs!$B$38&lt;=1,$A19&gt;=Inputs!$B$38),$AL$4,Inputs!$B$36+($AL$4-Inputs!$B$36)*($A19-1)/(Inputs!$B$38-1)))</f>
        <v>0.85</v>
      </c>
      <c r="AJ19" s="49">
        <f>ROUNDDOWN(INT(Inputs!$B$7)*AI19+0.000000001,0)</f>
        <v>170</v>
      </c>
      <c r="AK19" s="50">
        <f>AJ19*Monthly!E17*$AJ$4</f>
        <v>2040000</v>
      </c>
      <c r="AL19" s="50">
        <f>AK19-(Monthly!S17-Monthly!R17)-AJ19*Monthly!Q17</f>
        <v>715000</v>
      </c>
      <c r="AM19" s="50">
        <f>AK19*MAX(0,1-(MIN(MAX(Inputs!$B$33,0),60)/30))+AK18*MAX(0,1-ABS((MIN(MAX(Inputs!$B$33,0),60)/30)-1))+AK17*MAX(0,(MIN(MAX(Inputs!$B$33,0),60)/30)-1)</f>
        <v>1974000</v>
      </c>
      <c r="AN19" s="50">
        <f>AN18+AM19-(Monthly!S17-Monthly!R17)-AJ19*Monthly!Q17-Monthly!X17-Monthly!Y17</f>
        <v>-21652500</v>
      </c>
      <c r="AO19" s="47" t="str">
        <f t="shared" si="4"/>
        <v/>
      </c>
      <c r="AQ19" s="48">
        <f>IF($A19=0,0,IF(OR(Inputs!$B$38&lt;=1,$A19&gt;=Inputs!$B$38),$AT$4,Inputs!$B$36+($AT$4-Inputs!$B$36)*($A19-1)/(Inputs!$B$38-1)))</f>
        <v>0.85</v>
      </c>
      <c r="AR19" s="49">
        <f>ROUNDDOWN(INT(Inputs!$B$7)*AQ19+0.000000001,0)</f>
        <v>170</v>
      </c>
      <c r="AS19" s="50">
        <f>AR19*Monthly!E17*$AR$4</f>
        <v>2244000</v>
      </c>
      <c r="AT19" s="50">
        <f>AS19-(Monthly!S17-Monthly!R17)-AR19*Monthly!Q17</f>
        <v>919000</v>
      </c>
      <c r="AU19" s="50">
        <f>AS19*MAX(0,1-(MIN(MAX(Inputs!$B$33,0),60)/30))+AS18*MAX(0,1-ABS((MIN(MAX(Inputs!$B$33,0),60)/30)-1))+AS17*MAX(0,(MIN(MAX(Inputs!$B$33,0),60)/30)-1)</f>
        <v>2171400</v>
      </c>
      <c r="AV19" s="50">
        <f>AV18+AU19-(Monthly!S17-Monthly!R17)-AR19*Monthly!Q17-Monthly!X17-Monthly!Y17</f>
        <v>-20176500</v>
      </c>
      <c r="AW19" s="47" t="str">
        <f t="shared" si="5"/>
        <v/>
      </c>
      <c r="AY19" s="48">
        <f>IF($A19=0,0,IF(OR(Inputs!$B$38&lt;=1,$A19&gt;=Inputs!$B$38),$BB$4,Inputs!$B$36+($BB$4-Inputs!$B$36)*($A19-1)/(Inputs!$B$38-1)))</f>
        <v>0.95</v>
      </c>
      <c r="AZ19" s="49">
        <f>ROUNDDOWN(INT(Inputs!$B$7)*AY19+0.000000001,0)</f>
        <v>190</v>
      </c>
      <c r="BA19" s="50">
        <f>AZ19*Monthly!E17*$AZ$4</f>
        <v>2052000</v>
      </c>
      <c r="BB19" s="50">
        <f>BA19-(Monthly!S17-Monthly!R17)-AZ19*Monthly!Q17</f>
        <v>697000</v>
      </c>
      <c r="BC19" s="50">
        <f>BA19*MAX(0,1-(MIN(MAX(Inputs!$B$33,0),60)/30))+BA18*MAX(0,1-ABS((MIN(MAX(Inputs!$B$33,0),60)/30)-1))+BA17*MAX(0,(MIN(MAX(Inputs!$B$33,0),60)/30)-1)</f>
        <v>1981800</v>
      </c>
      <c r="BD19" s="50">
        <f>BD18+BC19-(Monthly!S17-Monthly!R17)-AZ19*Monthly!Q17-Monthly!X17-Monthly!Y17</f>
        <v>-22120500</v>
      </c>
      <c r="BE19" s="47" t="str">
        <f t="shared" si="6"/>
        <v/>
      </c>
      <c r="BG19" s="48">
        <f>IF($A19=0,0,IF(OR(Inputs!$B$38&lt;=1,$A19&gt;=Inputs!$B$38),$BJ$4,Inputs!$B$36+($BJ$4-Inputs!$B$36)*($A19-1)/(Inputs!$B$38-1)))</f>
        <v>0.95</v>
      </c>
      <c r="BH19" s="49">
        <f>ROUNDDOWN(INT(Inputs!$B$7)*BG19+0.000000001,0)</f>
        <v>190</v>
      </c>
      <c r="BI19" s="50">
        <f>BH19*Monthly!E17*$BH$4</f>
        <v>2280000</v>
      </c>
      <c r="BJ19" s="50">
        <f>BI19-(Monthly!S17-Monthly!R17)-BH19*Monthly!Q17</f>
        <v>925000</v>
      </c>
      <c r="BK19" s="50">
        <f>BI19*MAX(0,1-(MIN(MAX(Inputs!$B$33,0),60)/30))+BI18*MAX(0,1-ABS((MIN(MAX(Inputs!$B$33,0),60)/30)-1))+BI17*MAX(0,(MIN(MAX(Inputs!$B$33,0),60)/30)-1)</f>
        <v>2202000</v>
      </c>
      <c r="BL19" s="50">
        <f>BL18+BK19-(Monthly!S17-Monthly!R17)-BH19*Monthly!Q17-Monthly!X17-Monthly!Y17</f>
        <v>-20512500</v>
      </c>
      <c r="BM19" s="47" t="str">
        <f t="shared" si="7"/>
        <v/>
      </c>
      <c r="BO19" s="48">
        <f>IF($A19=0,0,IF(OR(Inputs!$B$38&lt;=1,$A19&gt;=Inputs!$B$38),$BR$4,Inputs!$B$36+($BR$4-Inputs!$B$36)*($A19-1)/(Inputs!$B$38-1)))</f>
        <v>0.95</v>
      </c>
      <c r="BP19" s="49">
        <f>ROUNDDOWN(INT(Inputs!$B$7)*BO19+0.000000001,0)</f>
        <v>190</v>
      </c>
      <c r="BQ19" s="50">
        <f>BP19*Monthly!E17*$BP$4</f>
        <v>2508000</v>
      </c>
      <c r="BR19" s="50">
        <f>BQ19-(Monthly!S17-Monthly!R17)-BP19*Monthly!Q17</f>
        <v>1153000</v>
      </c>
      <c r="BS19" s="50">
        <f>BQ19*MAX(0,1-(MIN(MAX(Inputs!$B$33,0),60)/30))+BQ18*MAX(0,1-ABS((MIN(MAX(Inputs!$B$33,0),60)/30)-1))+BQ17*MAX(0,(MIN(MAX(Inputs!$B$33,0),60)/30)-1)</f>
        <v>2422200</v>
      </c>
      <c r="BT19" s="50">
        <f>BT18+BS19-(Monthly!S17-Monthly!R17)-BP19*Monthly!Q17-Monthly!X17-Monthly!Y17</f>
        <v>-18904500</v>
      </c>
      <c r="BU19" s="47" t="str">
        <f t="shared" si="8"/>
        <v/>
      </c>
    </row>
    <row r="20" spans="1:73" x14ac:dyDescent="0.2">
      <c r="A20" s="56">
        <f>Monthly!A18</f>
        <v>13</v>
      </c>
      <c r="B20" s="56">
        <f>Monthly!B18</f>
        <v>2</v>
      </c>
      <c r="C20" s="48">
        <f>IF($A20=0,0,IF(OR(Inputs!$B$38&lt;=1,$A20&gt;=Inputs!$B$38),$F$4,Inputs!$B$36+($F$4-Inputs!$B$36)*($A20-1)/(Inputs!$B$38-1)))</f>
        <v>0.75</v>
      </c>
      <c r="D20" s="49">
        <f>ROUNDDOWN(INT(Inputs!$B$7)*C20+0.000000001,0)</f>
        <v>150</v>
      </c>
      <c r="E20" s="50">
        <f>D20*Monthly!E18*$D$4</f>
        <v>1701000</v>
      </c>
      <c r="F20" s="50">
        <f>E20-(Monthly!S18-Monthly!R18)-D20*Monthly!Q18</f>
        <v>341250</v>
      </c>
      <c r="G20" s="50">
        <f>E20*MAX(0,1-(MIN(MAX(Inputs!$B$33,0),60)/30))+E19*MAX(0,1-ABS((MIN(MAX(Inputs!$B$33,0),60)/30)-1))+E18*MAX(0,(MIN(MAX(Inputs!$B$33,0),60)/30)-1)</f>
        <v>1660500</v>
      </c>
      <c r="H20" s="50">
        <f>H19+G20-(Monthly!S18-Monthly!R18)-D20*Monthly!Q18-Monthly!X18-Monthly!Y18</f>
        <v>-23835750</v>
      </c>
      <c r="I20" s="47" t="str">
        <f t="shared" si="0"/>
        <v/>
      </c>
      <c r="K20" s="48">
        <f>IF($A20=0,0,IF(OR(Inputs!$B$38&lt;=1,$A20&gt;=Inputs!$B$38),$N$4,Inputs!$B$36+($N$4-Inputs!$B$36)*($A20-1)/(Inputs!$B$38-1)))</f>
        <v>0.75</v>
      </c>
      <c r="L20" s="49">
        <f>ROUNDDOWN(INT(Inputs!$B$7)*K20+0.000000001,0)</f>
        <v>150</v>
      </c>
      <c r="M20" s="50">
        <f>L20*Monthly!E18*$L$4</f>
        <v>1890000</v>
      </c>
      <c r="N20" s="50">
        <f>M20-(Monthly!S18-Monthly!R18)-L20*Monthly!Q18</f>
        <v>530250</v>
      </c>
      <c r="O20" s="50">
        <f>M20*MAX(0,1-(MIN(MAX(Inputs!$B$33,0),60)/30))+M19*MAX(0,1-ABS((MIN(MAX(Inputs!$B$33,0),60)/30)-1))+M18*MAX(0,(MIN(MAX(Inputs!$B$33,0),60)/30)-1)</f>
        <v>1845000</v>
      </c>
      <c r="P20" s="50">
        <f>P19+O20-(Monthly!S18-Monthly!R18)-L20*Monthly!Q18-Monthly!X18-Monthly!Y18</f>
        <v>-22307250</v>
      </c>
      <c r="Q20" s="47" t="str">
        <f t="shared" si="1"/>
        <v/>
      </c>
      <c r="S20" s="48">
        <f>IF($A20=0,0,IF(OR(Inputs!$B$38&lt;=1,$A20&gt;=Inputs!$B$38),$V$4,Inputs!$B$36+($V$4-Inputs!$B$36)*($A20-1)/(Inputs!$B$38-1)))</f>
        <v>0.75</v>
      </c>
      <c r="T20" s="49">
        <f>ROUNDDOWN(INT(Inputs!$B$7)*S20+0.000000001,0)</f>
        <v>150</v>
      </c>
      <c r="U20" s="50">
        <f>T20*Monthly!E18*$T$4</f>
        <v>2079000.0000000002</v>
      </c>
      <c r="V20" s="50">
        <f>U20-(Monthly!S18-Monthly!R18)-T20*Monthly!Q18</f>
        <v>719250.00000000023</v>
      </c>
      <c r="W20" s="50">
        <f>U20*MAX(0,1-(MIN(MAX(Inputs!$B$33,0),60)/30))+U19*MAX(0,1-ABS((MIN(MAX(Inputs!$B$33,0),60)/30)-1))+U18*MAX(0,(MIN(MAX(Inputs!$B$33,0),60)/30)-1)</f>
        <v>2029500.0000000002</v>
      </c>
      <c r="X20" s="50">
        <f>X19+W20-(Monthly!S18-Monthly!R18)-T20*Monthly!Q18-Monthly!X18-Monthly!Y18</f>
        <v>-20778750</v>
      </c>
      <c r="Y20" s="47" t="str">
        <f t="shared" si="2"/>
        <v/>
      </c>
      <c r="AA20" s="48">
        <f>IF($A20=0,0,IF(OR(Inputs!$B$38&lt;=1,$A20&gt;=Inputs!$B$38),$AD$4,Inputs!$B$36+($AD$4-Inputs!$B$36)*($A20-1)/(Inputs!$B$38-1)))</f>
        <v>0.85</v>
      </c>
      <c r="AB20" s="49">
        <f>ROUNDDOWN(INT(Inputs!$B$7)*AA20+0.000000001,0)</f>
        <v>170</v>
      </c>
      <c r="AC20" s="50">
        <f>AB20*Monthly!E18*$AB$4</f>
        <v>1927800</v>
      </c>
      <c r="AD20" s="50">
        <f>AC20-(Monthly!S18-Monthly!R18)-AB20*Monthly!Q18</f>
        <v>536550</v>
      </c>
      <c r="AE20" s="50">
        <f>AC20*MAX(0,1-(MIN(MAX(Inputs!$B$33,0),60)/30))+AC19*MAX(0,1-ABS((MIN(MAX(Inputs!$B$33,0),60)/30)-1))+AC18*MAX(0,(MIN(MAX(Inputs!$B$33,0),60)/30)-1)</f>
        <v>1881900</v>
      </c>
      <c r="AF20" s="50">
        <f>AF19+AE20-(Monthly!S18-Monthly!R18)-AB20*Monthly!Q18-Monthly!X18-Monthly!Y18</f>
        <v>-22637850</v>
      </c>
      <c r="AG20" s="47" t="str">
        <f t="shared" si="3"/>
        <v/>
      </c>
      <c r="AI20" s="48">
        <f>IF($A20=0,0,IF(OR(Inputs!$B$38&lt;=1,$A20&gt;=Inputs!$B$38),$AL$4,Inputs!$B$36+($AL$4-Inputs!$B$36)*($A20-1)/(Inputs!$B$38-1)))</f>
        <v>0.85</v>
      </c>
      <c r="AJ20" s="49">
        <f>ROUNDDOWN(INT(Inputs!$B$7)*AI20+0.000000001,0)</f>
        <v>170</v>
      </c>
      <c r="AK20" s="50">
        <f>AJ20*Monthly!E18*$AJ$4</f>
        <v>2142000</v>
      </c>
      <c r="AL20" s="50">
        <f>AK20-(Monthly!S18-Monthly!R18)-AJ20*Monthly!Q18</f>
        <v>750750</v>
      </c>
      <c r="AM20" s="50">
        <f>AK20*MAX(0,1-(MIN(MAX(Inputs!$B$33,0),60)/30))+AK19*MAX(0,1-ABS((MIN(MAX(Inputs!$B$33,0),60)/30)-1))+AK18*MAX(0,(MIN(MAX(Inputs!$B$33,0),60)/30)-1)</f>
        <v>2091000</v>
      </c>
      <c r="AN20" s="50">
        <f>AN19+AM20-(Monthly!S18-Monthly!R18)-AJ20*Monthly!Q18-Monthly!X18-Monthly!Y18</f>
        <v>-20952750</v>
      </c>
      <c r="AO20" s="47" t="str">
        <f t="shared" si="4"/>
        <v/>
      </c>
      <c r="AQ20" s="48">
        <f>IF($A20=0,0,IF(OR(Inputs!$B$38&lt;=1,$A20&gt;=Inputs!$B$38),$AT$4,Inputs!$B$36+($AT$4-Inputs!$B$36)*($A20-1)/(Inputs!$B$38-1)))</f>
        <v>0.85</v>
      </c>
      <c r="AR20" s="49">
        <f>ROUNDDOWN(INT(Inputs!$B$7)*AQ20+0.000000001,0)</f>
        <v>170</v>
      </c>
      <c r="AS20" s="50">
        <f>AR20*Monthly!E18*$AR$4</f>
        <v>2356200</v>
      </c>
      <c r="AT20" s="50">
        <f>AS20-(Monthly!S18-Monthly!R18)-AR20*Monthly!Q18</f>
        <v>964950</v>
      </c>
      <c r="AU20" s="50">
        <f>AS20*MAX(0,1-(MIN(MAX(Inputs!$B$33,0),60)/30))+AS19*MAX(0,1-ABS((MIN(MAX(Inputs!$B$33,0),60)/30)-1))+AS18*MAX(0,(MIN(MAX(Inputs!$B$33,0),60)/30)-1)</f>
        <v>2300100</v>
      </c>
      <c r="AV20" s="50">
        <f>AV19+AU20-(Monthly!S18-Monthly!R18)-AR20*Monthly!Q18-Monthly!X18-Monthly!Y18</f>
        <v>-19267650</v>
      </c>
      <c r="AW20" s="47" t="str">
        <f t="shared" si="5"/>
        <v/>
      </c>
      <c r="AY20" s="48">
        <f>IF($A20=0,0,IF(OR(Inputs!$B$38&lt;=1,$A20&gt;=Inputs!$B$38),$BB$4,Inputs!$B$36+($BB$4-Inputs!$B$36)*($A20-1)/(Inputs!$B$38-1)))</f>
        <v>0.95</v>
      </c>
      <c r="AZ20" s="49">
        <f>ROUNDDOWN(INT(Inputs!$B$7)*AY20+0.000000001,0)</f>
        <v>190</v>
      </c>
      <c r="BA20" s="50">
        <f>AZ20*Monthly!E18*$AZ$4</f>
        <v>2154600</v>
      </c>
      <c r="BB20" s="50">
        <f>BA20-(Monthly!S18-Monthly!R18)-AZ20*Monthly!Q18</f>
        <v>731850</v>
      </c>
      <c r="BC20" s="50">
        <f>BA20*MAX(0,1-(MIN(MAX(Inputs!$B$33,0),60)/30))+BA19*MAX(0,1-ABS((MIN(MAX(Inputs!$B$33,0),60)/30)-1))+BA18*MAX(0,(MIN(MAX(Inputs!$B$33,0),60)/30)-1)</f>
        <v>2103300</v>
      </c>
      <c r="BD20" s="50">
        <f>BD19+BC20-(Monthly!S18-Monthly!R18)-AZ20*Monthly!Q18-Monthly!X18-Monthly!Y18</f>
        <v>-21439950</v>
      </c>
      <c r="BE20" s="47" t="str">
        <f t="shared" si="6"/>
        <v/>
      </c>
      <c r="BG20" s="48">
        <f>IF($A20=0,0,IF(OR(Inputs!$B$38&lt;=1,$A20&gt;=Inputs!$B$38),$BJ$4,Inputs!$B$36+($BJ$4-Inputs!$B$36)*($A20-1)/(Inputs!$B$38-1)))</f>
        <v>0.95</v>
      </c>
      <c r="BH20" s="49">
        <f>ROUNDDOWN(INT(Inputs!$B$7)*BG20+0.000000001,0)</f>
        <v>190</v>
      </c>
      <c r="BI20" s="50">
        <f>BH20*Monthly!E18*$BH$4</f>
        <v>2394000</v>
      </c>
      <c r="BJ20" s="50">
        <f>BI20-(Monthly!S18-Monthly!R18)-BH20*Monthly!Q18</f>
        <v>971250</v>
      </c>
      <c r="BK20" s="50">
        <f>BI20*MAX(0,1-(MIN(MAX(Inputs!$B$33,0),60)/30))+BI19*MAX(0,1-ABS((MIN(MAX(Inputs!$B$33,0),60)/30)-1))+BI18*MAX(0,(MIN(MAX(Inputs!$B$33,0),60)/30)-1)</f>
        <v>2337000</v>
      </c>
      <c r="BL20" s="50">
        <f>BL19+BK20-(Monthly!S18-Monthly!R18)-BH20*Monthly!Q18-Monthly!X18-Monthly!Y18</f>
        <v>-19598250</v>
      </c>
      <c r="BM20" s="47" t="str">
        <f t="shared" si="7"/>
        <v/>
      </c>
      <c r="BO20" s="48">
        <f>IF($A20=0,0,IF(OR(Inputs!$B$38&lt;=1,$A20&gt;=Inputs!$B$38),$BR$4,Inputs!$B$36+($BR$4-Inputs!$B$36)*($A20-1)/(Inputs!$B$38-1)))</f>
        <v>0.95</v>
      </c>
      <c r="BP20" s="49">
        <f>ROUNDDOWN(INT(Inputs!$B$7)*BO20+0.000000001,0)</f>
        <v>190</v>
      </c>
      <c r="BQ20" s="50">
        <f>BP20*Monthly!E18*$BP$4</f>
        <v>2633400</v>
      </c>
      <c r="BR20" s="50">
        <f>BQ20-(Monthly!S18-Monthly!R18)-BP20*Monthly!Q18</f>
        <v>1210650</v>
      </c>
      <c r="BS20" s="50">
        <f>BQ20*MAX(0,1-(MIN(MAX(Inputs!$B$33,0),60)/30))+BQ19*MAX(0,1-ABS((MIN(MAX(Inputs!$B$33,0),60)/30)-1))+BQ18*MAX(0,(MIN(MAX(Inputs!$B$33,0),60)/30)-1)</f>
        <v>2570700</v>
      </c>
      <c r="BT20" s="50">
        <f>BT19+BS20-(Monthly!S18-Monthly!R18)-BP20*Monthly!Q18-Monthly!X18-Monthly!Y18</f>
        <v>-17756550</v>
      </c>
      <c r="BU20" s="47" t="str">
        <f t="shared" si="8"/>
        <v/>
      </c>
    </row>
    <row r="21" spans="1:73" x14ac:dyDescent="0.2">
      <c r="A21" s="56">
        <f>Monthly!A19</f>
        <v>14</v>
      </c>
      <c r="B21" s="56">
        <f>Monthly!B19</f>
        <v>2</v>
      </c>
      <c r="C21" s="48">
        <f>IF($A21=0,0,IF(OR(Inputs!$B$38&lt;=1,$A21&gt;=Inputs!$B$38),$F$4,Inputs!$B$36+($F$4-Inputs!$B$36)*($A21-1)/(Inputs!$B$38-1)))</f>
        <v>0.75</v>
      </c>
      <c r="D21" s="49">
        <f>ROUNDDOWN(INT(Inputs!$B$7)*C21+0.000000001,0)</f>
        <v>150</v>
      </c>
      <c r="E21" s="50">
        <f>D21*Monthly!E19*$D$4</f>
        <v>1701000</v>
      </c>
      <c r="F21" s="50">
        <f>E21-(Monthly!S19-Monthly!R19)-D21*Monthly!Q19</f>
        <v>341250</v>
      </c>
      <c r="G21" s="50">
        <f>E21*MAX(0,1-(MIN(MAX(Inputs!$B$33,0),60)/30))+E20*MAX(0,1-ABS((MIN(MAX(Inputs!$B$33,0),60)/30)-1))+E19*MAX(0,(MIN(MAX(Inputs!$B$33,0),60)/30)-1)</f>
        <v>1701000</v>
      </c>
      <c r="H21" s="50">
        <f>H20+G21-(Monthly!S19-Monthly!R19)-D21*Monthly!Q19-Monthly!X19-Monthly!Y19</f>
        <v>-23494500</v>
      </c>
      <c r="I21" s="47" t="str">
        <f t="shared" si="0"/>
        <v/>
      </c>
      <c r="K21" s="48">
        <f>IF($A21=0,0,IF(OR(Inputs!$B$38&lt;=1,$A21&gt;=Inputs!$B$38),$N$4,Inputs!$B$36+($N$4-Inputs!$B$36)*($A21-1)/(Inputs!$B$38-1)))</f>
        <v>0.75</v>
      </c>
      <c r="L21" s="49">
        <f>ROUNDDOWN(INT(Inputs!$B$7)*K21+0.000000001,0)</f>
        <v>150</v>
      </c>
      <c r="M21" s="50">
        <f>L21*Monthly!E19*$L$4</f>
        <v>1890000</v>
      </c>
      <c r="N21" s="50">
        <f>M21-(Monthly!S19-Monthly!R19)-L21*Monthly!Q19</f>
        <v>530250</v>
      </c>
      <c r="O21" s="50">
        <f>M21*MAX(0,1-(MIN(MAX(Inputs!$B$33,0),60)/30))+M20*MAX(0,1-ABS((MIN(MAX(Inputs!$B$33,0),60)/30)-1))+M19*MAX(0,(MIN(MAX(Inputs!$B$33,0),60)/30)-1)</f>
        <v>1890000</v>
      </c>
      <c r="P21" s="50">
        <f>P20+O21-(Monthly!S19-Monthly!R19)-L21*Monthly!Q19-Monthly!X19-Monthly!Y19</f>
        <v>-21777000</v>
      </c>
      <c r="Q21" s="47" t="str">
        <f t="shared" si="1"/>
        <v/>
      </c>
      <c r="S21" s="48">
        <f>IF($A21=0,0,IF(OR(Inputs!$B$38&lt;=1,$A21&gt;=Inputs!$B$38),$V$4,Inputs!$B$36+($V$4-Inputs!$B$36)*($A21-1)/(Inputs!$B$38-1)))</f>
        <v>0.75</v>
      </c>
      <c r="T21" s="49">
        <f>ROUNDDOWN(INT(Inputs!$B$7)*S21+0.000000001,0)</f>
        <v>150</v>
      </c>
      <c r="U21" s="50">
        <f>T21*Monthly!E19*$T$4</f>
        <v>2079000.0000000002</v>
      </c>
      <c r="V21" s="50">
        <f>U21-(Monthly!S19-Monthly!R19)-T21*Monthly!Q19</f>
        <v>719250.00000000023</v>
      </c>
      <c r="W21" s="50">
        <f>U21*MAX(0,1-(MIN(MAX(Inputs!$B$33,0),60)/30))+U20*MAX(0,1-ABS((MIN(MAX(Inputs!$B$33,0),60)/30)-1))+U19*MAX(0,(MIN(MAX(Inputs!$B$33,0),60)/30)-1)</f>
        <v>2079000.0000000002</v>
      </c>
      <c r="X21" s="50">
        <f>X20+W21-(Monthly!S19-Monthly!R19)-T21*Monthly!Q19-Monthly!X19-Monthly!Y19</f>
        <v>-20059500</v>
      </c>
      <c r="Y21" s="47" t="str">
        <f t="shared" si="2"/>
        <v/>
      </c>
      <c r="AA21" s="48">
        <f>IF($A21=0,0,IF(OR(Inputs!$B$38&lt;=1,$A21&gt;=Inputs!$B$38),$AD$4,Inputs!$B$36+($AD$4-Inputs!$B$36)*($A21-1)/(Inputs!$B$38-1)))</f>
        <v>0.85</v>
      </c>
      <c r="AB21" s="49">
        <f>ROUNDDOWN(INT(Inputs!$B$7)*AA21+0.000000001,0)</f>
        <v>170</v>
      </c>
      <c r="AC21" s="50">
        <f>AB21*Monthly!E19*$AB$4</f>
        <v>1927800</v>
      </c>
      <c r="AD21" s="50">
        <f>AC21-(Monthly!S19-Monthly!R19)-AB21*Monthly!Q19</f>
        <v>536550</v>
      </c>
      <c r="AE21" s="50">
        <f>AC21*MAX(0,1-(MIN(MAX(Inputs!$B$33,0),60)/30))+AC20*MAX(0,1-ABS((MIN(MAX(Inputs!$B$33,0),60)/30)-1))+AC19*MAX(0,(MIN(MAX(Inputs!$B$33,0),60)/30)-1)</f>
        <v>1927800</v>
      </c>
      <c r="AF21" s="50">
        <f>AF20+AE21-(Monthly!S19-Monthly!R19)-AB21*Monthly!Q19-Monthly!X19-Monthly!Y19</f>
        <v>-22101300</v>
      </c>
      <c r="AG21" s="47" t="str">
        <f t="shared" si="3"/>
        <v/>
      </c>
      <c r="AI21" s="48">
        <f>IF($A21=0,0,IF(OR(Inputs!$B$38&lt;=1,$A21&gt;=Inputs!$B$38),$AL$4,Inputs!$B$36+($AL$4-Inputs!$B$36)*($A21-1)/(Inputs!$B$38-1)))</f>
        <v>0.85</v>
      </c>
      <c r="AJ21" s="49">
        <f>ROUNDDOWN(INT(Inputs!$B$7)*AI21+0.000000001,0)</f>
        <v>170</v>
      </c>
      <c r="AK21" s="50">
        <f>AJ21*Monthly!E19*$AJ$4</f>
        <v>2142000</v>
      </c>
      <c r="AL21" s="50">
        <f>AK21-(Monthly!S19-Monthly!R19)-AJ21*Monthly!Q19</f>
        <v>750750</v>
      </c>
      <c r="AM21" s="50">
        <f>AK21*MAX(0,1-(MIN(MAX(Inputs!$B$33,0),60)/30))+AK20*MAX(0,1-ABS((MIN(MAX(Inputs!$B$33,0),60)/30)-1))+AK19*MAX(0,(MIN(MAX(Inputs!$B$33,0),60)/30)-1)</f>
        <v>2142000</v>
      </c>
      <c r="AN21" s="50">
        <f>AN20+AM21-(Monthly!S19-Monthly!R19)-AJ21*Monthly!Q19-Monthly!X19-Monthly!Y19</f>
        <v>-20202000</v>
      </c>
      <c r="AO21" s="47" t="str">
        <f t="shared" si="4"/>
        <v/>
      </c>
      <c r="AQ21" s="48">
        <f>IF($A21=0,0,IF(OR(Inputs!$B$38&lt;=1,$A21&gt;=Inputs!$B$38),$AT$4,Inputs!$B$36+($AT$4-Inputs!$B$36)*($A21-1)/(Inputs!$B$38-1)))</f>
        <v>0.85</v>
      </c>
      <c r="AR21" s="49">
        <f>ROUNDDOWN(INT(Inputs!$B$7)*AQ21+0.000000001,0)</f>
        <v>170</v>
      </c>
      <c r="AS21" s="50">
        <f>AR21*Monthly!E19*$AR$4</f>
        <v>2356200</v>
      </c>
      <c r="AT21" s="50">
        <f>AS21-(Monthly!S19-Monthly!R19)-AR21*Monthly!Q19</f>
        <v>964950</v>
      </c>
      <c r="AU21" s="50">
        <f>AS21*MAX(0,1-(MIN(MAX(Inputs!$B$33,0),60)/30))+AS20*MAX(0,1-ABS((MIN(MAX(Inputs!$B$33,0),60)/30)-1))+AS19*MAX(0,(MIN(MAX(Inputs!$B$33,0),60)/30)-1)</f>
        <v>2356200</v>
      </c>
      <c r="AV21" s="50">
        <f>AV20+AU21-(Monthly!S19-Monthly!R19)-AR21*Monthly!Q19-Monthly!X19-Monthly!Y19</f>
        <v>-18302700</v>
      </c>
      <c r="AW21" s="47" t="str">
        <f t="shared" si="5"/>
        <v/>
      </c>
      <c r="AY21" s="48">
        <f>IF($A21=0,0,IF(OR(Inputs!$B$38&lt;=1,$A21&gt;=Inputs!$B$38),$BB$4,Inputs!$B$36+($BB$4-Inputs!$B$36)*($A21-1)/(Inputs!$B$38-1)))</f>
        <v>0.95</v>
      </c>
      <c r="AZ21" s="49">
        <f>ROUNDDOWN(INT(Inputs!$B$7)*AY21+0.000000001,0)</f>
        <v>190</v>
      </c>
      <c r="BA21" s="50">
        <f>AZ21*Monthly!E19*$AZ$4</f>
        <v>2154600</v>
      </c>
      <c r="BB21" s="50">
        <f>BA21-(Monthly!S19-Monthly!R19)-AZ21*Monthly!Q19</f>
        <v>731850</v>
      </c>
      <c r="BC21" s="50">
        <f>BA21*MAX(0,1-(MIN(MAX(Inputs!$B$33,0),60)/30))+BA20*MAX(0,1-ABS((MIN(MAX(Inputs!$B$33,0),60)/30)-1))+BA19*MAX(0,(MIN(MAX(Inputs!$B$33,0),60)/30)-1)</f>
        <v>2154600</v>
      </c>
      <c r="BD21" s="50">
        <f>BD20+BC21-(Monthly!S19-Monthly!R19)-AZ21*Monthly!Q19-Monthly!X19-Monthly!Y19</f>
        <v>-20708100</v>
      </c>
      <c r="BE21" s="47" t="str">
        <f t="shared" si="6"/>
        <v/>
      </c>
      <c r="BG21" s="48">
        <f>IF($A21=0,0,IF(OR(Inputs!$B$38&lt;=1,$A21&gt;=Inputs!$B$38),$BJ$4,Inputs!$B$36+($BJ$4-Inputs!$B$36)*($A21-1)/(Inputs!$B$38-1)))</f>
        <v>0.95</v>
      </c>
      <c r="BH21" s="49">
        <f>ROUNDDOWN(INT(Inputs!$B$7)*BG21+0.000000001,0)</f>
        <v>190</v>
      </c>
      <c r="BI21" s="50">
        <f>BH21*Monthly!E19*$BH$4</f>
        <v>2394000</v>
      </c>
      <c r="BJ21" s="50">
        <f>BI21-(Monthly!S19-Monthly!R19)-BH21*Monthly!Q19</f>
        <v>971250</v>
      </c>
      <c r="BK21" s="50">
        <f>BI21*MAX(0,1-(MIN(MAX(Inputs!$B$33,0),60)/30))+BI20*MAX(0,1-ABS((MIN(MAX(Inputs!$B$33,0),60)/30)-1))+BI19*MAX(0,(MIN(MAX(Inputs!$B$33,0),60)/30)-1)</f>
        <v>2394000</v>
      </c>
      <c r="BL21" s="50">
        <f>BL20+BK21-(Monthly!S19-Monthly!R19)-BH21*Monthly!Q19-Monthly!X19-Monthly!Y19</f>
        <v>-18627000</v>
      </c>
      <c r="BM21" s="47" t="str">
        <f t="shared" si="7"/>
        <v/>
      </c>
      <c r="BO21" s="48">
        <f>IF($A21=0,0,IF(OR(Inputs!$B$38&lt;=1,$A21&gt;=Inputs!$B$38),$BR$4,Inputs!$B$36+($BR$4-Inputs!$B$36)*($A21-1)/(Inputs!$B$38-1)))</f>
        <v>0.95</v>
      </c>
      <c r="BP21" s="49">
        <f>ROUNDDOWN(INT(Inputs!$B$7)*BO21+0.000000001,0)</f>
        <v>190</v>
      </c>
      <c r="BQ21" s="50">
        <f>BP21*Monthly!E19*$BP$4</f>
        <v>2633400</v>
      </c>
      <c r="BR21" s="50">
        <f>BQ21-(Monthly!S19-Monthly!R19)-BP21*Monthly!Q19</f>
        <v>1210650</v>
      </c>
      <c r="BS21" s="50">
        <f>BQ21*MAX(0,1-(MIN(MAX(Inputs!$B$33,0),60)/30))+BQ20*MAX(0,1-ABS((MIN(MAX(Inputs!$B$33,0),60)/30)-1))+BQ19*MAX(0,(MIN(MAX(Inputs!$B$33,0),60)/30)-1)</f>
        <v>2633400</v>
      </c>
      <c r="BT21" s="50">
        <f>BT20+BS21-(Monthly!S19-Monthly!R19)-BP21*Monthly!Q19-Monthly!X19-Monthly!Y19</f>
        <v>-16545900</v>
      </c>
      <c r="BU21" s="47" t="str">
        <f t="shared" si="8"/>
        <v/>
      </c>
    </row>
    <row r="22" spans="1:73" x14ac:dyDescent="0.2">
      <c r="A22" s="56">
        <f>Monthly!A20</f>
        <v>15</v>
      </c>
      <c r="B22" s="56">
        <f>Monthly!B20</f>
        <v>2</v>
      </c>
      <c r="C22" s="48">
        <f>IF($A22=0,0,IF(OR(Inputs!$B$38&lt;=1,$A22&gt;=Inputs!$B$38),$F$4,Inputs!$B$36+($F$4-Inputs!$B$36)*($A22-1)/(Inputs!$B$38-1)))</f>
        <v>0.75</v>
      </c>
      <c r="D22" s="49">
        <f>ROUNDDOWN(INT(Inputs!$B$7)*C22+0.000000001,0)</f>
        <v>150</v>
      </c>
      <c r="E22" s="50">
        <f>D22*Monthly!E20*$D$4</f>
        <v>1701000</v>
      </c>
      <c r="F22" s="50">
        <f>E22-(Monthly!S20-Monthly!R20)-D22*Monthly!Q20</f>
        <v>341250</v>
      </c>
      <c r="G22" s="50">
        <f>E22*MAX(0,1-(MIN(MAX(Inputs!$B$33,0),60)/30))+E21*MAX(0,1-ABS((MIN(MAX(Inputs!$B$33,0),60)/30)-1))+E20*MAX(0,(MIN(MAX(Inputs!$B$33,0),60)/30)-1)</f>
        <v>1701000</v>
      </c>
      <c r="H22" s="50">
        <f>H21+G22-(Monthly!S20-Monthly!R20)-D22*Monthly!Q20-Monthly!X20-Monthly!Y20</f>
        <v>-23153250</v>
      </c>
      <c r="I22" s="47" t="str">
        <f t="shared" si="0"/>
        <v/>
      </c>
      <c r="K22" s="48">
        <f>IF($A22=0,0,IF(OR(Inputs!$B$38&lt;=1,$A22&gt;=Inputs!$B$38),$N$4,Inputs!$B$36+($N$4-Inputs!$B$36)*($A22-1)/(Inputs!$B$38-1)))</f>
        <v>0.75</v>
      </c>
      <c r="L22" s="49">
        <f>ROUNDDOWN(INT(Inputs!$B$7)*K22+0.000000001,0)</f>
        <v>150</v>
      </c>
      <c r="M22" s="50">
        <f>L22*Monthly!E20*$L$4</f>
        <v>1890000</v>
      </c>
      <c r="N22" s="50">
        <f>M22-(Monthly!S20-Monthly!R20)-L22*Monthly!Q20</f>
        <v>530250</v>
      </c>
      <c r="O22" s="50">
        <f>M22*MAX(0,1-(MIN(MAX(Inputs!$B$33,0),60)/30))+M21*MAX(0,1-ABS((MIN(MAX(Inputs!$B$33,0),60)/30)-1))+M20*MAX(0,(MIN(MAX(Inputs!$B$33,0),60)/30)-1)</f>
        <v>1890000</v>
      </c>
      <c r="P22" s="50">
        <f>P21+O22-(Monthly!S20-Monthly!R20)-L22*Monthly!Q20-Monthly!X20-Monthly!Y20</f>
        <v>-21246750</v>
      </c>
      <c r="Q22" s="47" t="str">
        <f t="shared" si="1"/>
        <v/>
      </c>
      <c r="S22" s="48">
        <f>IF($A22=0,0,IF(OR(Inputs!$B$38&lt;=1,$A22&gt;=Inputs!$B$38),$V$4,Inputs!$B$36+($V$4-Inputs!$B$36)*($A22-1)/(Inputs!$B$38-1)))</f>
        <v>0.75</v>
      </c>
      <c r="T22" s="49">
        <f>ROUNDDOWN(INT(Inputs!$B$7)*S22+0.000000001,0)</f>
        <v>150</v>
      </c>
      <c r="U22" s="50">
        <f>T22*Monthly!E20*$T$4</f>
        <v>2079000.0000000002</v>
      </c>
      <c r="V22" s="50">
        <f>U22-(Monthly!S20-Monthly!R20)-T22*Monthly!Q20</f>
        <v>719250.00000000023</v>
      </c>
      <c r="W22" s="50">
        <f>U22*MAX(0,1-(MIN(MAX(Inputs!$B$33,0),60)/30))+U21*MAX(0,1-ABS((MIN(MAX(Inputs!$B$33,0),60)/30)-1))+U20*MAX(0,(MIN(MAX(Inputs!$B$33,0),60)/30)-1)</f>
        <v>2079000.0000000002</v>
      </c>
      <c r="X22" s="50">
        <f>X21+W22-(Monthly!S20-Monthly!R20)-T22*Monthly!Q20-Monthly!X20-Monthly!Y20</f>
        <v>-19340250</v>
      </c>
      <c r="Y22" s="47" t="str">
        <f t="shared" si="2"/>
        <v/>
      </c>
      <c r="AA22" s="48">
        <f>IF($A22=0,0,IF(OR(Inputs!$B$38&lt;=1,$A22&gt;=Inputs!$B$38),$AD$4,Inputs!$B$36+($AD$4-Inputs!$B$36)*($A22-1)/(Inputs!$B$38-1)))</f>
        <v>0.85</v>
      </c>
      <c r="AB22" s="49">
        <f>ROUNDDOWN(INT(Inputs!$B$7)*AA22+0.000000001,0)</f>
        <v>170</v>
      </c>
      <c r="AC22" s="50">
        <f>AB22*Monthly!E20*$AB$4</f>
        <v>1927800</v>
      </c>
      <c r="AD22" s="50">
        <f>AC22-(Monthly!S20-Monthly!R20)-AB22*Monthly!Q20</f>
        <v>536550</v>
      </c>
      <c r="AE22" s="50">
        <f>AC22*MAX(0,1-(MIN(MAX(Inputs!$B$33,0),60)/30))+AC21*MAX(0,1-ABS((MIN(MAX(Inputs!$B$33,0),60)/30)-1))+AC20*MAX(0,(MIN(MAX(Inputs!$B$33,0),60)/30)-1)</f>
        <v>1927800</v>
      </c>
      <c r="AF22" s="50">
        <f>AF21+AE22-(Monthly!S20-Monthly!R20)-AB22*Monthly!Q20-Monthly!X20-Monthly!Y20</f>
        <v>-21564750</v>
      </c>
      <c r="AG22" s="47" t="str">
        <f t="shared" si="3"/>
        <v/>
      </c>
      <c r="AI22" s="48">
        <f>IF($A22=0,0,IF(OR(Inputs!$B$38&lt;=1,$A22&gt;=Inputs!$B$38),$AL$4,Inputs!$B$36+($AL$4-Inputs!$B$36)*($A22-1)/(Inputs!$B$38-1)))</f>
        <v>0.85</v>
      </c>
      <c r="AJ22" s="49">
        <f>ROUNDDOWN(INT(Inputs!$B$7)*AI22+0.000000001,0)</f>
        <v>170</v>
      </c>
      <c r="AK22" s="50">
        <f>AJ22*Monthly!E20*$AJ$4</f>
        <v>2142000</v>
      </c>
      <c r="AL22" s="50">
        <f>AK22-(Monthly!S20-Monthly!R20)-AJ22*Monthly!Q20</f>
        <v>750750</v>
      </c>
      <c r="AM22" s="50">
        <f>AK22*MAX(0,1-(MIN(MAX(Inputs!$B$33,0),60)/30))+AK21*MAX(0,1-ABS((MIN(MAX(Inputs!$B$33,0),60)/30)-1))+AK20*MAX(0,(MIN(MAX(Inputs!$B$33,0),60)/30)-1)</f>
        <v>2142000</v>
      </c>
      <c r="AN22" s="50">
        <f>AN21+AM22-(Monthly!S20-Monthly!R20)-AJ22*Monthly!Q20-Monthly!X20-Monthly!Y20</f>
        <v>-19451250</v>
      </c>
      <c r="AO22" s="47" t="str">
        <f t="shared" si="4"/>
        <v/>
      </c>
      <c r="AQ22" s="48">
        <f>IF($A22=0,0,IF(OR(Inputs!$B$38&lt;=1,$A22&gt;=Inputs!$B$38),$AT$4,Inputs!$B$36+($AT$4-Inputs!$B$36)*($A22-1)/(Inputs!$B$38-1)))</f>
        <v>0.85</v>
      </c>
      <c r="AR22" s="49">
        <f>ROUNDDOWN(INT(Inputs!$B$7)*AQ22+0.000000001,0)</f>
        <v>170</v>
      </c>
      <c r="AS22" s="50">
        <f>AR22*Monthly!E20*$AR$4</f>
        <v>2356200</v>
      </c>
      <c r="AT22" s="50">
        <f>AS22-(Monthly!S20-Monthly!R20)-AR22*Monthly!Q20</f>
        <v>964950</v>
      </c>
      <c r="AU22" s="50">
        <f>AS22*MAX(0,1-(MIN(MAX(Inputs!$B$33,0),60)/30))+AS21*MAX(0,1-ABS((MIN(MAX(Inputs!$B$33,0),60)/30)-1))+AS20*MAX(0,(MIN(MAX(Inputs!$B$33,0),60)/30)-1)</f>
        <v>2356200</v>
      </c>
      <c r="AV22" s="50">
        <f>AV21+AU22-(Monthly!S20-Monthly!R20)-AR22*Monthly!Q20-Monthly!X20-Monthly!Y20</f>
        <v>-17337750</v>
      </c>
      <c r="AW22" s="47" t="str">
        <f t="shared" si="5"/>
        <v/>
      </c>
      <c r="AY22" s="48">
        <f>IF($A22=0,0,IF(OR(Inputs!$B$38&lt;=1,$A22&gt;=Inputs!$B$38),$BB$4,Inputs!$B$36+($BB$4-Inputs!$B$36)*($A22-1)/(Inputs!$B$38-1)))</f>
        <v>0.95</v>
      </c>
      <c r="AZ22" s="49">
        <f>ROUNDDOWN(INT(Inputs!$B$7)*AY22+0.000000001,0)</f>
        <v>190</v>
      </c>
      <c r="BA22" s="50">
        <f>AZ22*Monthly!E20*$AZ$4</f>
        <v>2154600</v>
      </c>
      <c r="BB22" s="50">
        <f>BA22-(Monthly!S20-Monthly!R20)-AZ22*Monthly!Q20</f>
        <v>731850</v>
      </c>
      <c r="BC22" s="50">
        <f>BA22*MAX(0,1-(MIN(MAX(Inputs!$B$33,0),60)/30))+BA21*MAX(0,1-ABS((MIN(MAX(Inputs!$B$33,0),60)/30)-1))+BA20*MAX(0,(MIN(MAX(Inputs!$B$33,0),60)/30)-1)</f>
        <v>2154600</v>
      </c>
      <c r="BD22" s="50">
        <f>BD21+BC22-(Monthly!S20-Monthly!R20)-AZ22*Monthly!Q20-Monthly!X20-Monthly!Y20</f>
        <v>-19976250</v>
      </c>
      <c r="BE22" s="47" t="str">
        <f t="shared" si="6"/>
        <v/>
      </c>
      <c r="BG22" s="48">
        <f>IF($A22=0,0,IF(OR(Inputs!$B$38&lt;=1,$A22&gt;=Inputs!$B$38),$BJ$4,Inputs!$B$36+($BJ$4-Inputs!$B$36)*($A22-1)/(Inputs!$B$38-1)))</f>
        <v>0.95</v>
      </c>
      <c r="BH22" s="49">
        <f>ROUNDDOWN(INT(Inputs!$B$7)*BG22+0.000000001,0)</f>
        <v>190</v>
      </c>
      <c r="BI22" s="50">
        <f>BH22*Monthly!E20*$BH$4</f>
        <v>2394000</v>
      </c>
      <c r="BJ22" s="50">
        <f>BI22-(Monthly!S20-Monthly!R20)-BH22*Monthly!Q20</f>
        <v>971250</v>
      </c>
      <c r="BK22" s="50">
        <f>BI22*MAX(0,1-(MIN(MAX(Inputs!$B$33,0),60)/30))+BI21*MAX(0,1-ABS((MIN(MAX(Inputs!$B$33,0),60)/30)-1))+BI20*MAX(0,(MIN(MAX(Inputs!$B$33,0),60)/30)-1)</f>
        <v>2394000</v>
      </c>
      <c r="BL22" s="50">
        <f>BL21+BK22-(Monthly!S20-Monthly!R20)-BH22*Monthly!Q20-Monthly!X20-Monthly!Y20</f>
        <v>-17655750</v>
      </c>
      <c r="BM22" s="47" t="str">
        <f t="shared" si="7"/>
        <v/>
      </c>
      <c r="BO22" s="48">
        <f>IF($A22=0,0,IF(OR(Inputs!$B$38&lt;=1,$A22&gt;=Inputs!$B$38),$BR$4,Inputs!$B$36+($BR$4-Inputs!$B$36)*($A22-1)/(Inputs!$B$38-1)))</f>
        <v>0.95</v>
      </c>
      <c r="BP22" s="49">
        <f>ROUNDDOWN(INT(Inputs!$B$7)*BO22+0.000000001,0)</f>
        <v>190</v>
      </c>
      <c r="BQ22" s="50">
        <f>BP22*Monthly!E20*$BP$4</f>
        <v>2633400</v>
      </c>
      <c r="BR22" s="50">
        <f>BQ22-(Monthly!S20-Monthly!R20)-BP22*Monthly!Q20</f>
        <v>1210650</v>
      </c>
      <c r="BS22" s="50">
        <f>BQ22*MAX(0,1-(MIN(MAX(Inputs!$B$33,0),60)/30))+BQ21*MAX(0,1-ABS((MIN(MAX(Inputs!$B$33,0),60)/30)-1))+BQ20*MAX(0,(MIN(MAX(Inputs!$B$33,0),60)/30)-1)</f>
        <v>2633400</v>
      </c>
      <c r="BT22" s="50">
        <f>BT21+BS22-(Monthly!S20-Monthly!R20)-BP22*Monthly!Q20-Monthly!X20-Monthly!Y20</f>
        <v>-15335250</v>
      </c>
      <c r="BU22" s="47" t="str">
        <f t="shared" si="8"/>
        <v/>
      </c>
    </row>
    <row r="23" spans="1:73" x14ac:dyDescent="0.2">
      <c r="A23" s="56">
        <f>Monthly!A21</f>
        <v>16</v>
      </c>
      <c r="B23" s="56">
        <f>Monthly!B21</f>
        <v>2</v>
      </c>
      <c r="C23" s="48">
        <f>IF($A23=0,0,IF(OR(Inputs!$B$38&lt;=1,$A23&gt;=Inputs!$B$38),$F$4,Inputs!$B$36+($F$4-Inputs!$B$36)*($A23-1)/(Inputs!$B$38-1)))</f>
        <v>0.75</v>
      </c>
      <c r="D23" s="49">
        <f>ROUNDDOWN(INT(Inputs!$B$7)*C23+0.000000001,0)</f>
        <v>150</v>
      </c>
      <c r="E23" s="50">
        <f>D23*Monthly!E21*$D$4</f>
        <v>1701000</v>
      </c>
      <c r="F23" s="50">
        <f>E23-(Monthly!S21-Monthly!R21)-D23*Monthly!Q21</f>
        <v>341250</v>
      </c>
      <c r="G23" s="50">
        <f>E23*MAX(0,1-(MIN(MAX(Inputs!$B$33,0),60)/30))+E22*MAX(0,1-ABS((MIN(MAX(Inputs!$B$33,0),60)/30)-1))+E21*MAX(0,(MIN(MAX(Inputs!$B$33,0),60)/30)-1)</f>
        <v>1701000</v>
      </c>
      <c r="H23" s="50">
        <f>H22+G23-(Monthly!S21-Monthly!R21)-D23*Monthly!Q21-Monthly!X21-Monthly!Y21</f>
        <v>-22812000</v>
      </c>
      <c r="I23" s="47" t="str">
        <f t="shared" si="0"/>
        <v/>
      </c>
      <c r="K23" s="48">
        <f>IF($A23=0,0,IF(OR(Inputs!$B$38&lt;=1,$A23&gt;=Inputs!$B$38),$N$4,Inputs!$B$36+($N$4-Inputs!$B$36)*($A23-1)/(Inputs!$B$38-1)))</f>
        <v>0.75</v>
      </c>
      <c r="L23" s="49">
        <f>ROUNDDOWN(INT(Inputs!$B$7)*K23+0.000000001,0)</f>
        <v>150</v>
      </c>
      <c r="M23" s="50">
        <f>L23*Monthly!E21*$L$4</f>
        <v>1890000</v>
      </c>
      <c r="N23" s="50">
        <f>M23-(Monthly!S21-Monthly!R21)-L23*Monthly!Q21</f>
        <v>530250</v>
      </c>
      <c r="O23" s="50">
        <f>M23*MAX(0,1-(MIN(MAX(Inputs!$B$33,0),60)/30))+M22*MAX(0,1-ABS((MIN(MAX(Inputs!$B$33,0),60)/30)-1))+M21*MAX(0,(MIN(MAX(Inputs!$B$33,0),60)/30)-1)</f>
        <v>1890000</v>
      </c>
      <c r="P23" s="50">
        <f>P22+O23-(Monthly!S21-Monthly!R21)-L23*Monthly!Q21-Monthly!X21-Monthly!Y21</f>
        <v>-20716500</v>
      </c>
      <c r="Q23" s="47" t="str">
        <f t="shared" si="1"/>
        <v/>
      </c>
      <c r="S23" s="48">
        <f>IF($A23=0,0,IF(OR(Inputs!$B$38&lt;=1,$A23&gt;=Inputs!$B$38),$V$4,Inputs!$B$36+($V$4-Inputs!$B$36)*($A23-1)/(Inputs!$B$38-1)))</f>
        <v>0.75</v>
      </c>
      <c r="T23" s="49">
        <f>ROUNDDOWN(INT(Inputs!$B$7)*S23+0.000000001,0)</f>
        <v>150</v>
      </c>
      <c r="U23" s="50">
        <f>T23*Monthly!E21*$T$4</f>
        <v>2079000.0000000002</v>
      </c>
      <c r="V23" s="50">
        <f>U23-(Monthly!S21-Monthly!R21)-T23*Monthly!Q21</f>
        <v>719250.00000000023</v>
      </c>
      <c r="W23" s="50">
        <f>U23*MAX(0,1-(MIN(MAX(Inputs!$B$33,0),60)/30))+U22*MAX(0,1-ABS((MIN(MAX(Inputs!$B$33,0),60)/30)-1))+U21*MAX(0,(MIN(MAX(Inputs!$B$33,0),60)/30)-1)</f>
        <v>2079000.0000000002</v>
      </c>
      <c r="X23" s="50">
        <f>X22+W23-(Monthly!S21-Monthly!R21)-T23*Monthly!Q21-Monthly!X21-Monthly!Y21</f>
        <v>-18621000</v>
      </c>
      <c r="Y23" s="47" t="str">
        <f t="shared" si="2"/>
        <v/>
      </c>
      <c r="AA23" s="48">
        <f>IF($A23=0,0,IF(OR(Inputs!$B$38&lt;=1,$A23&gt;=Inputs!$B$38),$AD$4,Inputs!$B$36+($AD$4-Inputs!$B$36)*($A23-1)/(Inputs!$B$38-1)))</f>
        <v>0.85</v>
      </c>
      <c r="AB23" s="49">
        <f>ROUNDDOWN(INT(Inputs!$B$7)*AA23+0.000000001,0)</f>
        <v>170</v>
      </c>
      <c r="AC23" s="50">
        <f>AB23*Monthly!E21*$AB$4</f>
        <v>1927800</v>
      </c>
      <c r="AD23" s="50">
        <f>AC23-(Monthly!S21-Monthly!R21)-AB23*Monthly!Q21</f>
        <v>536550</v>
      </c>
      <c r="AE23" s="50">
        <f>AC23*MAX(0,1-(MIN(MAX(Inputs!$B$33,0),60)/30))+AC22*MAX(0,1-ABS((MIN(MAX(Inputs!$B$33,0),60)/30)-1))+AC21*MAX(0,(MIN(MAX(Inputs!$B$33,0),60)/30)-1)</f>
        <v>1927800</v>
      </c>
      <c r="AF23" s="50">
        <f>AF22+AE23-(Monthly!S21-Monthly!R21)-AB23*Monthly!Q21-Monthly!X21-Monthly!Y21</f>
        <v>-21028200</v>
      </c>
      <c r="AG23" s="47" t="str">
        <f t="shared" si="3"/>
        <v/>
      </c>
      <c r="AI23" s="48">
        <f>IF($A23=0,0,IF(OR(Inputs!$B$38&lt;=1,$A23&gt;=Inputs!$B$38),$AL$4,Inputs!$B$36+($AL$4-Inputs!$B$36)*($A23-1)/(Inputs!$B$38-1)))</f>
        <v>0.85</v>
      </c>
      <c r="AJ23" s="49">
        <f>ROUNDDOWN(INT(Inputs!$B$7)*AI23+0.000000001,0)</f>
        <v>170</v>
      </c>
      <c r="AK23" s="50">
        <f>AJ23*Monthly!E21*$AJ$4</f>
        <v>2142000</v>
      </c>
      <c r="AL23" s="50">
        <f>AK23-(Monthly!S21-Monthly!R21)-AJ23*Monthly!Q21</f>
        <v>750750</v>
      </c>
      <c r="AM23" s="50">
        <f>AK23*MAX(0,1-(MIN(MAX(Inputs!$B$33,0),60)/30))+AK22*MAX(0,1-ABS((MIN(MAX(Inputs!$B$33,0),60)/30)-1))+AK21*MAX(0,(MIN(MAX(Inputs!$B$33,0),60)/30)-1)</f>
        <v>2142000</v>
      </c>
      <c r="AN23" s="50">
        <f>AN22+AM23-(Monthly!S21-Monthly!R21)-AJ23*Monthly!Q21-Monthly!X21-Monthly!Y21</f>
        <v>-18700500</v>
      </c>
      <c r="AO23" s="47" t="str">
        <f t="shared" si="4"/>
        <v/>
      </c>
      <c r="AQ23" s="48">
        <f>IF($A23=0,0,IF(OR(Inputs!$B$38&lt;=1,$A23&gt;=Inputs!$B$38),$AT$4,Inputs!$B$36+($AT$4-Inputs!$B$36)*($A23-1)/(Inputs!$B$38-1)))</f>
        <v>0.85</v>
      </c>
      <c r="AR23" s="49">
        <f>ROUNDDOWN(INT(Inputs!$B$7)*AQ23+0.000000001,0)</f>
        <v>170</v>
      </c>
      <c r="AS23" s="50">
        <f>AR23*Monthly!E21*$AR$4</f>
        <v>2356200</v>
      </c>
      <c r="AT23" s="50">
        <f>AS23-(Monthly!S21-Monthly!R21)-AR23*Monthly!Q21</f>
        <v>964950</v>
      </c>
      <c r="AU23" s="50">
        <f>AS23*MAX(0,1-(MIN(MAX(Inputs!$B$33,0),60)/30))+AS22*MAX(0,1-ABS((MIN(MAX(Inputs!$B$33,0),60)/30)-1))+AS21*MAX(0,(MIN(MAX(Inputs!$B$33,0),60)/30)-1)</f>
        <v>2356200</v>
      </c>
      <c r="AV23" s="50">
        <f>AV22+AU23-(Monthly!S21-Monthly!R21)-AR23*Monthly!Q21-Monthly!X21-Monthly!Y21</f>
        <v>-16372800</v>
      </c>
      <c r="AW23" s="47" t="str">
        <f t="shared" si="5"/>
        <v/>
      </c>
      <c r="AY23" s="48">
        <f>IF($A23=0,0,IF(OR(Inputs!$B$38&lt;=1,$A23&gt;=Inputs!$B$38),$BB$4,Inputs!$B$36+($BB$4-Inputs!$B$36)*($A23-1)/(Inputs!$B$38-1)))</f>
        <v>0.95</v>
      </c>
      <c r="AZ23" s="49">
        <f>ROUNDDOWN(INT(Inputs!$B$7)*AY23+0.000000001,0)</f>
        <v>190</v>
      </c>
      <c r="BA23" s="50">
        <f>AZ23*Monthly!E21*$AZ$4</f>
        <v>2154600</v>
      </c>
      <c r="BB23" s="50">
        <f>BA23-(Monthly!S21-Monthly!R21)-AZ23*Monthly!Q21</f>
        <v>731850</v>
      </c>
      <c r="BC23" s="50">
        <f>BA23*MAX(0,1-(MIN(MAX(Inputs!$B$33,0),60)/30))+BA22*MAX(0,1-ABS((MIN(MAX(Inputs!$B$33,0),60)/30)-1))+BA21*MAX(0,(MIN(MAX(Inputs!$B$33,0),60)/30)-1)</f>
        <v>2154600</v>
      </c>
      <c r="BD23" s="50">
        <f>BD22+BC23-(Monthly!S21-Monthly!R21)-AZ23*Monthly!Q21-Monthly!X21-Monthly!Y21</f>
        <v>-19244400</v>
      </c>
      <c r="BE23" s="47" t="str">
        <f t="shared" si="6"/>
        <v/>
      </c>
      <c r="BG23" s="48">
        <f>IF($A23=0,0,IF(OR(Inputs!$B$38&lt;=1,$A23&gt;=Inputs!$B$38),$BJ$4,Inputs!$B$36+($BJ$4-Inputs!$B$36)*($A23-1)/(Inputs!$B$38-1)))</f>
        <v>0.95</v>
      </c>
      <c r="BH23" s="49">
        <f>ROUNDDOWN(INT(Inputs!$B$7)*BG23+0.000000001,0)</f>
        <v>190</v>
      </c>
      <c r="BI23" s="50">
        <f>BH23*Monthly!E21*$BH$4</f>
        <v>2394000</v>
      </c>
      <c r="BJ23" s="50">
        <f>BI23-(Monthly!S21-Monthly!R21)-BH23*Monthly!Q21</f>
        <v>971250</v>
      </c>
      <c r="BK23" s="50">
        <f>BI23*MAX(0,1-(MIN(MAX(Inputs!$B$33,0),60)/30))+BI22*MAX(0,1-ABS((MIN(MAX(Inputs!$B$33,0),60)/30)-1))+BI21*MAX(0,(MIN(MAX(Inputs!$B$33,0),60)/30)-1)</f>
        <v>2394000</v>
      </c>
      <c r="BL23" s="50">
        <f>BL22+BK23-(Monthly!S21-Monthly!R21)-BH23*Monthly!Q21-Monthly!X21-Monthly!Y21</f>
        <v>-16684500</v>
      </c>
      <c r="BM23" s="47" t="str">
        <f t="shared" si="7"/>
        <v/>
      </c>
      <c r="BO23" s="48">
        <f>IF($A23=0,0,IF(OR(Inputs!$B$38&lt;=1,$A23&gt;=Inputs!$B$38),$BR$4,Inputs!$B$36+($BR$4-Inputs!$B$36)*($A23-1)/(Inputs!$B$38-1)))</f>
        <v>0.95</v>
      </c>
      <c r="BP23" s="49">
        <f>ROUNDDOWN(INT(Inputs!$B$7)*BO23+0.000000001,0)</f>
        <v>190</v>
      </c>
      <c r="BQ23" s="50">
        <f>BP23*Monthly!E21*$BP$4</f>
        <v>2633400</v>
      </c>
      <c r="BR23" s="50">
        <f>BQ23-(Monthly!S21-Monthly!R21)-BP23*Monthly!Q21</f>
        <v>1210650</v>
      </c>
      <c r="BS23" s="50">
        <f>BQ23*MAX(0,1-(MIN(MAX(Inputs!$B$33,0),60)/30))+BQ22*MAX(0,1-ABS((MIN(MAX(Inputs!$B$33,0),60)/30)-1))+BQ21*MAX(0,(MIN(MAX(Inputs!$B$33,0),60)/30)-1)</f>
        <v>2633400</v>
      </c>
      <c r="BT23" s="50">
        <f>BT22+BS23-(Monthly!S21-Monthly!R21)-BP23*Monthly!Q21-Monthly!X21-Monthly!Y21</f>
        <v>-14124600</v>
      </c>
      <c r="BU23" s="47" t="str">
        <f t="shared" si="8"/>
        <v/>
      </c>
    </row>
    <row r="24" spans="1:73" x14ac:dyDescent="0.2">
      <c r="A24" s="56">
        <f>Monthly!A22</f>
        <v>17</v>
      </c>
      <c r="B24" s="56">
        <f>Monthly!B22</f>
        <v>2</v>
      </c>
      <c r="C24" s="48">
        <f>IF($A24=0,0,IF(OR(Inputs!$B$38&lt;=1,$A24&gt;=Inputs!$B$38),$F$4,Inputs!$B$36+($F$4-Inputs!$B$36)*($A24-1)/(Inputs!$B$38-1)))</f>
        <v>0.75</v>
      </c>
      <c r="D24" s="49">
        <f>ROUNDDOWN(INT(Inputs!$B$7)*C24+0.000000001,0)</f>
        <v>150</v>
      </c>
      <c r="E24" s="50">
        <f>D24*Monthly!E22*$D$4</f>
        <v>1701000</v>
      </c>
      <c r="F24" s="50">
        <f>E24-(Monthly!S22-Monthly!R22)-D24*Monthly!Q22</f>
        <v>341250</v>
      </c>
      <c r="G24" s="50">
        <f>E24*MAX(0,1-(MIN(MAX(Inputs!$B$33,0),60)/30))+E23*MAX(0,1-ABS((MIN(MAX(Inputs!$B$33,0),60)/30)-1))+E22*MAX(0,(MIN(MAX(Inputs!$B$33,0),60)/30)-1)</f>
        <v>1701000</v>
      </c>
      <c r="H24" s="50">
        <f>H23+G24-(Monthly!S22-Monthly!R22)-D24*Monthly!Q22-Monthly!X22-Monthly!Y22</f>
        <v>-22470750</v>
      </c>
      <c r="I24" s="47" t="str">
        <f t="shared" si="0"/>
        <v/>
      </c>
      <c r="K24" s="48">
        <f>IF($A24=0,0,IF(OR(Inputs!$B$38&lt;=1,$A24&gt;=Inputs!$B$38),$N$4,Inputs!$B$36+($N$4-Inputs!$B$36)*($A24-1)/(Inputs!$B$38-1)))</f>
        <v>0.75</v>
      </c>
      <c r="L24" s="49">
        <f>ROUNDDOWN(INT(Inputs!$B$7)*K24+0.000000001,0)</f>
        <v>150</v>
      </c>
      <c r="M24" s="50">
        <f>L24*Monthly!E22*$L$4</f>
        <v>1890000</v>
      </c>
      <c r="N24" s="50">
        <f>M24-(Monthly!S22-Monthly!R22)-L24*Monthly!Q22</f>
        <v>530250</v>
      </c>
      <c r="O24" s="50">
        <f>M24*MAX(0,1-(MIN(MAX(Inputs!$B$33,0),60)/30))+M23*MAX(0,1-ABS((MIN(MAX(Inputs!$B$33,0),60)/30)-1))+M22*MAX(0,(MIN(MAX(Inputs!$B$33,0),60)/30)-1)</f>
        <v>1890000</v>
      </c>
      <c r="P24" s="50">
        <f>P23+O24-(Monthly!S22-Monthly!R22)-L24*Monthly!Q22-Monthly!X22-Monthly!Y22</f>
        <v>-20186250</v>
      </c>
      <c r="Q24" s="47" t="str">
        <f t="shared" si="1"/>
        <v/>
      </c>
      <c r="S24" s="48">
        <f>IF($A24=0,0,IF(OR(Inputs!$B$38&lt;=1,$A24&gt;=Inputs!$B$38),$V$4,Inputs!$B$36+($V$4-Inputs!$B$36)*($A24-1)/(Inputs!$B$38-1)))</f>
        <v>0.75</v>
      </c>
      <c r="T24" s="49">
        <f>ROUNDDOWN(INT(Inputs!$B$7)*S24+0.000000001,0)</f>
        <v>150</v>
      </c>
      <c r="U24" s="50">
        <f>T24*Monthly!E22*$T$4</f>
        <v>2079000.0000000002</v>
      </c>
      <c r="V24" s="50">
        <f>U24-(Monthly!S22-Monthly!R22)-T24*Monthly!Q22</f>
        <v>719250.00000000023</v>
      </c>
      <c r="W24" s="50">
        <f>U24*MAX(0,1-(MIN(MAX(Inputs!$B$33,0),60)/30))+U23*MAX(0,1-ABS((MIN(MAX(Inputs!$B$33,0),60)/30)-1))+U22*MAX(0,(MIN(MAX(Inputs!$B$33,0),60)/30)-1)</f>
        <v>2079000.0000000002</v>
      </c>
      <c r="X24" s="50">
        <f>X23+W24-(Monthly!S22-Monthly!R22)-T24*Monthly!Q22-Monthly!X22-Monthly!Y22</f>
        <v>-17901750</v>
      </c>
      <c r="Y24" s="47" t="str">
        <f t="shared" si="2"/>
        <v/>
      </c>
      <c r="AA24" s="48">
        <f>IF($A24=0,0,IF(OR(Inputs!$B$38&lt;=1,$A24&gt;=Inputs!$B$38),$AD$4,Inputs!$B$36+($AD$4-Inputs!$B$36)*($A24-1)/(Inputs!$B$38-1)))</f>
        <v>0.85</v>
      </c>
      <c r="AB24" s="49">
        <f>ROUNDDOWN(INT(Inputs!$B$7)*AA24+0.000000001,0)</f>
        <v>170</v>
      </c>
      <c r="AC24" s="50">
        <f>AB24*Monthly!E22*$AB$4</f>
        <v>1927800</v>
      </c>
      <c r="AD24" s="50">
        <f>AC24-(Monthly!S22-Monthly!R22)-AB24*Monthly!Q22</f>
        <v>536550</v>
      </c>
      <c r="AE24" s="50">
        <f>AC24*MAX(0,1-(MIN(MAX(Inputs!$B$33,0),60)/30))+AC23*MAX(0,1-ABS((MIN(MAX(Inputs!$B$33,0),60)/30)-1))+AC22*MAX(0,(MIN(MAX(Inputs!$B$33,0),60)/30)-1)</f>
        <v>1927800</v>
      </c>
      <c r="AF24" s="50">
        <f>AF23+AE24-(Monthly!S22-Monthly!R22)-AB24*Monthly!Q22-Monthly!X22-Monthly!Y22</f>
        <v>-20491650</v>
      </c>
      <c r="AG24" s="47" t="str">
        <f t="shared" si="3"/>
        <v/>
      </c>
      <c r="AI24" s="48">
        <f>IF($A24=0,0,IF(OR(Inputs!$B$38&lt;=1,$A24&gt;=Inputs!$B$38),$AL$4,Inputs!$B$36+($AL$4-Inputs!$B$36)*($A24-1)/(Inputs!$B$38-1)))</f>
        <v>0.85</v>
      </c>
      <c r="AJ24" s="49">
        <f>ROUNDDOWN(INT(Inputs!$B$7)*AI24+0.000000001,0)</f>
        <v>170</v>
      </c>
      <c r="AK24" s="50">
        <f>AJ24*Monthly!E22*$AJ$4</f>
        <v>2142000</v>
      </c>
      <c r="AL24" s="50">
        <f>AK24-(Monthly!S22-Monthly!R22)-AJ24*Monthly!Q22</f>
        <v>750750</v>
      </c>
      <c r="AM24" s="50">
        <f>AK24*MAX(0,1-(MIN(MAX(Inputs!$B$33,0),60)/30))+AK23*MAX(0,1-ABS((MIN(MAX(Inputs!$B$33,0),60)/30)-1))+AK22*MAX(0,(MIN(MAX(Inputs!$B$33,0),60)/30)-1)</f>
        <v>2142000</v>
      </c>
      <c r="AN24" s="50">
        <f>AN23+AM24-(Monthly!S22-Monthly!R22)-AJ24*Monthly!Q22-Monthly!X22-Monthly!Y22</f>
        <v>-17949750</v>
      </c>
      <c r="AO24" s="47" t="str">
        <f t="shared" si="4"/>
        <v/>
      </c>
      <c r="AQ24" s="48">
        <f>IF($A24=0,0,IF(OR(Inputs!$B$38&lt;=1,$A24&gt;=Inputs!$B$38),$AT$4,Inputs!$B$36+($AT$4-Inputs!$B$36)*($A24-1)/(Inputs!$B$38-1)))</f>
        <v>0.85</v>
      </c>
      <c r="AR24" s="49">
        <f>ROUNDDOWN(INT(Inputs!$B$7)*AQ24+0.000000001,0)</f>
        <v>170</v>
      </c>
      <c r="AS24" s="50">
        <f>AR24*Monthly!E22*$AR$4</f>
        <v>2356200</v>
      </c>
      <c r="AT24" s="50">
        <f>AS24-(Monthly!S22-Monthly!R22)-AR24*Monthly!Q22</f>
        <v>964950</v>
      </c>
      <c r="AU24" s="50">
        <f>AS24*MAX(0,1-(MIN(MAX(Inputs!$B$33,0),60)/30))+AS23*MAX(0,1-ABS((MIN(MAX(Inputs!$B$33,0),60)/30)-1))+AS22*MAX(0,(MIN(MAX(Inputs!$B$33,0),60)/30)-1)</f>
        <v>2356200</v>
      </c>
      <c r="AV24" s="50">
        <f>AV23+AU24-(Monthly!S22-Monthly!R22)-AR24*Monthly!Q22-Monthly!X22-Monthly!Y22</f>
        <v>-15407850</v>
      </c>
      <c r="AW24" s="47" t="str">
        <f t="shared" si="5"/>
        <v/>
      </c>
      <c r="AY24" s="48">
        <f>IF($A24=0,0,IF(OR(Inputs!$B$38&lt;=1,$A24&gt;=Inputs!$B$38),$BB$4,Inputs!$B$36+($BB$4-Inputs!$B$36)*($A24-1)/(Inputs!$B$38-1)))</f>
        <v>0.95</v>
      </c>
      <c r="AZ24" s="49">
        <f>ROUNDDOWN(INT(Inputs!$B$7)*AY24+0.000000001,0)</f>
        <v>190</v>
      </c>
      <c r="BA24" s="50">
        <f>AZ24*Monthly!E22*$AZ$4</f>
        <v>2154600</v>
      </c>
      <c r="BB24" s="50">
        <f>BA24-(Monthly!S22-Monthly!R22)-AZ24*Monthly!Q22</f>
        <v>731850</v>
      </c>
      <c r="BC24" s="50">
        <f>BA24*MAX(0,1-(MIN(MAX(Inputs!$B$33,0),60)/30))+BA23*MAX(0,1-ABS((MIN(MAX(Inputs!$B$33,0),60)/30)-1))+BA22*MAX(0,(MIN(MAX(Inputs!$B$33,0),60)/30)-1)</f>
        <v>2154600</v>
      </c>
      <c r="BD24" s="50">
        <f>BD23+BC24-(Monthly!S22-Monthly!R22)-AZ24*Monthly!Q22-Monthly!X22-Monthly!Y22</f>
        <v>-18512550</v>
      </c>
      <c r="BE24" s="47" t="str">
        <f t="shared" si="6"/>
        <v/>
      </c>
      <c r="BG24" s="48">
        <f>IF($A24=0,0,IF(OR(Inputs!$B$38&lt;=1,$A24&gt;=Inputs!$B$38),$BJ$4,Inputs!$B$36+($BJ$4-Inputs!$B$36)*($A24-1)/(Inputs!$B$38-1)))</f>
        <v>0.95</v>
      </c>
      <c r="BH24" s="49">
        <f>ROUNDDOWN(INT(Inputs!$B$7)*BG24+0.000000001,0)</f>
        <v>190</v>
      </c>
      <c r="BI24" s="50">
        <f>BH24*Monthly!E22*$BH$4</f>
        <v>2394000</v>
      </c>
      <c r="BJ24" s="50">
        <f>BI24-(Monthly!S22-Monthly!R22)-BH24*Monthly!Q22</f>
        <v>971250</v>
      </c>
      <c r="BK24" s="50">
        <f>BI24*MAX(0,1-(MIN(MAX(Inputs!$B$33,0),60)/30))+BI23*MAX(0,1-ABS((MIN(MAX(Inputs!$B$33,0),60)/30)-1))+BI22*MAX(0,(MIN(MAX(Inputs!$B$33,0),60)/30)-1)</f>
        <v>2394000</v>
      </c>
      <c r="BL24" s="50">
        <f>BL23+BK24-(Monthly!S22-Monthly!R22)-BH24*Monthly!Q22-Monthly!X22-Monthly!Y22</f>
        <v>-15713250</v>
      </c>
      <c r="BM24" s="47" t="str">
        <f t="shared" si="7"/>
        <v/>
      </c>
      <c r="BO24" s="48">
        <f>IF($A24=0,0,IF(OR(Inputs!$B$38&lt;=1,$A24&gt;=Inputs!$B$38),$BR$4,Inputs!$B$36+($BR$4-Inputs!$B$36)*($A24-1)/(Inputs!$B$38-1)))</f>
        <v>0.95</v>
      </c>
      <c r="BP24" s="49">
        <f>ROUNDDOWN(INT(Inputs!$B$7)*BO24+0.000000001,0)</f>
        <v>190</v>
      </c>
      <c r="BQ24" s="50">
        <f>BP24*Monthly!E22*$BP$4</f>
        <v>2633400</v>
      </c>
      <c r="BR24" s="50">
        <f>BQ24-(Monthly!S22-Monthly!R22)-BP24*Monthly!Q22</f>
        <v>1210650</v>
      </c>
      <c r="BS24" s="50">
        <f>BQ24*MAX(0,1-(MIN(MAX(Inputs!$B$33,0),60)/30))+BQ23*MAX(0,1-ABS((MIN(MAX(Inputs!$B$33,0),60)/30)-1))+BQ22*MAX(0,(MIN(MAX(Inputs!$B$33,0),60)/30)-1)</f>
        <v>2633400</v>
      </c>
      <c r="BT24" s="50">
        <f>BT23+BS24-(Monthly!S22-Monthly!R22)-BP24*Monthly!Q22-Monthly!X22-Monthly!Y22</f>
        <v>-12913950</v>
      </c>
      <c r="BU24" s="47" t="str">
        <f t="shared" si="8"/>
        <v/>
      </c>
    </row>
    <row r="25" spans="1:73" x14ac:dyDescent="0.2">
      <c r="A25" s="56">
        <f>Monthly!A23</f>
        <v>18</v>
      </c>
      <c r="B25" s="56">
        <f>Monthly!B23</f>
        <v>2</v>
      </c>
      <c r="C25" s="48">
        <f>IF($A25=0,0,IF(OR(Inputs!$B$38&lt;=1,$A25&gt;=Inputs!$B$38),$F$4,Inputs!$B$36+($F$4-Inputs!$B$36)*($A25-1)/(Inputs!$B$38-1)))</f>
        <v>0.75</v>
      </c>
      <c r="D25" s="49">
        <f>ROUNDDOWN(INT(Inputs!$B$7)*C25+0.000000001,0)</f>
        <v>150</v>
      </c>
      <c r="E25" s="50">
        <f>D25*Monthly!E23*$D$4</f>
        <v>1701000</v>
      </c>
      <c r="F25" s="50">
        <f>E25-(Monthly!S23-Monthly!R23)-D25*Monthly!Q23</f>
        <v>341250</v>
      </c>
      <c r="G25" s="50">
        <f>E25*MAX(0,1-(MIN(MAX(Inputs!$B$33,0),60)/30))+E24*MAX(0,1-ABS((MIN(MAX(Inputs!$B$33,0),60)/30)-1))+E23*MAX(0,(MIN(MAX(Inputs!$B$33,0),60)/30)-1)</f>
        <v>1701000</v>
      </c>
      <c r="H25" s="50">
        <f>H24+G25-(Monthly!S23-Monthly!R23)-D25*Monthly!Q23-Monthly!X23-Monthly!Y23</f>
        <v>-22129500</v>
      </c>
      <c r="I25" s="47" t="str">
        <f t="shared" si="0"/>
        <v/>
      </c>
      <c r="K25" s="48">
        <f>IF($A25=0,0,IF(OR(Inputs!$B$38&lt;=1,$A25&gt;=Inputs!$B$38),$N$4,Inputs!$B$36+($N$4-Inputs!$B$36)*($A25-1)/(Inputs!$B$38-1)))</f>
        <v>0.75</v>
      </c>
      <c r="L25" s="49">
        <f>ROUNDDOWN(INT(Inputs!$B$7)*K25+0.000000001,0)</f>
        <v>150</v>
      </c>
      <c r="M25" s="50">
        <f>L25*Monthly!E23*$L$4</f>
        <v>1890000</v>
      </c>
      <c r="N25" s="50">
        <f>M25-(Monthly!S23-Monthly!R23)-L25*Monthly!Q23</f>
        <v>530250</v>
      </c>
      <c r="O25" s="50">
        <f>M25*MAX(0,1-(MIN(MAX(Inputs!$B$33,0),60)/30))+M24*MAX(0,1-ABS((MIN(MAX(Inputs!$B$33,0),60)/30)-1))+M23*MAX(0,(MIN(MAX(Inputs!$B$33,0),60)/30)-1)</f>
        <v>1890000</v>
      </c>
      <c r="P25" s="50">
        <f>P24+O25-(Monthly!S23-Monthly!R23)-L25*Monthly!Q23-Monthly!X23-Monthly!Y23</f>
        <v>-19656000</v>
      </c>
      <c r="Q25" s="47" t="str">
        <f t="shared" si="1"/>
        <v/>
      </c>
      <c r="S25" s="48">
        <f>IF($A25=0,0,IF(OR(Inputs!$B$38&lt;=1,$A25&gt;=Inputs!$B$38),$V$4,Inputs!$B$36+($V$4-Inputs!$B$36)*($A25-1)/(Inputs!$B$38-1)))</f>
        <v>0.75</v>
      </c>
      <c r="T25" s="49">
        <f>ROUNDDOWN(INT(Inputs!$B$7)*S25+0.000000001,0)</f>
        <v>150</v>
      </c>
      <c r="U25" s="50">
        <f>T25*Monthly!E23*$T$4</f>
        <v>2079000.0000000002</v>
      </c>
      <c r="V25" s="50">
        <f>U25-(Monthly!S23-Monthly!R23)-T25*Monthly!Q23</f>
        <v>719250.00000000023</v>
      </c>
      <c r="W25" s="50">
        <f>U25*MAX(0,1-(MIN(MAX(Inputs!$B$33,0),60)/30))+U24*MAX(0,1-ABS((MIN(MAX(Inputs!$B$33,0),60)/30)-1))+U23*MAX(0,(MIN(MAX(Inputs!$B$33,0),60)/30)-1)</f>
        <v>2079000.0000000002</v>
      </c>
      <c r="X25" s="50">
        <f>X24+W25-(Monthly!S23-Monthly!R23)-T25*Monthly!Q23-Monthly!X23-Monthly!Y23</f>
        <v>-17182500</v>
      </c>
      <c r="Y25" s="47" t="str">
        <f t="shared" si="2"/>
        <v/>
      </c>
      <c r="AA25" s="48">
        <f>IF($A25=0,0,IF(OR(Inputs!$B$38&lt;=1,$A25&gt;=Inputs!$B$38),$AD$4,Inputs!$B$36+($AD$4-Inputs!$B$36)*($A25-1)/(Inputs!$B$38-1)))</f>
        <v>0.85</v>
      </c>
      <c r="AB25" s="49">
        <f>ROUNDDOWN(INT(Inputs!$B$7)*AA25+0.000000001,0)</f>
        <v>170</v>
      </c>
      <c r="AC25" s="50">
        <f>AB25*Monthly!E23*$AB$4</f>
        <v>1927800</v>
      </c>
      <c r="AD25" s="50">
        <f>AC25-(Monthly!S23-Monthly!R23)-AB25*Monthly!Q23</f>
        <v>536550</v>
      </c>
      <c r="AE25" s="50">
        <f>AC25*MAX(0,1-(MIN(MAX(Inputs!$B$33,0),60)/30))+AC24*MAX(0,1-ABS((MIN(MAX(Inputs!$B$33,0),60)/30)-1))+AC23*MAX(0,(MIN(MAX(Inputs!$B$33,0),60)/30)-1)</f>
        <v>1927800</v>
      </c>
      <c r="AF25" s="50">
        <f>AF24+AE25-(Monthly!S23-Monthly!R23)-AB25*Monthly!Q23-Monthly!X23-Monthly!Y23</f>
        <v>-19955100</v>
      </c>
      <c r="AG25" s="47" t="str">
        <f t="shared" si="3"/>
        <v/>
      </c>
      <c r="AI25" s="48">
        <f>IF($A25=0,0,IF(OR(Inputs!$B$38&lt;=1,$A25&gt;=Inputs!$B$38),$AL$4,Inputs!$B$36+($AL$4-Inputs!$B$36)*($A25-1)/(Inputs!$B$38-1)))</f>
        <v>0.85</v>
      </c>
      <c r="AJ25" s="49">
        <f>ROUNDDOWN(INT(Inputs!$B$7)*AI25+0.000000001,0)</f>
        <v>170</v>
      </c>
      <c r="AK25" s="50">
        <f>AJ25*Monthly!E23*$AJ$4</f>
        <v>2142000</v>
      </c>
      <c r="AL25" s="50">
        <f>AK25-(Monthly!S23-Monthly!R23)-AJ25*Monthly!Q23</f>
        <v>750750</v>
      </c>
      <c r="AM25" s="50">
        <f>AK25*MAX(0,1-(MIN(MAX(Inputs!$B$33,0),60)/30))+AK24*MAX(0,1-ABS((MIN(MAX(Inputs!$B$33,0),60)/30)-1))+AK23*MAX(0,(MIN(MAX(Inputs!$B$33,0),60)/30)-1)</f>
        <v>2142000</v>
      </c>
      <c r="AN25" s="50">
        <f>AN24+AM25-(Monthly!S23-Monthly!R23)-AJ25*Monthly!Q23-Monthly!X23-Monthly!Y23</f>
        <v>-17199000</v>
      </c>
      <c r="AO25" s="47" t="str">
        <f t="shared" si="4"/>
        <v/>
      </c>
      <c r="AQ25" s="48">
        <f>IF($A25=0,0,IF(OR(Inputs!$B$38&lt;=1,$A25&gt;=Inputs!$B$38),$AT$4,Inputs!$B$36+($AT$4-Inputs!$B$36)*($A25-1)/(Inputs!$B$38-1)))</f>
        <v>0.85</v>
      </c>
      <c r="AR25" s="49">
        <f>ROUNDDOWN(INT(Inputs!$B$7)*AQ25+0.000000001,0)</f>
        <v>170</v>
      </c>
      <c r="AS25" s="50">
        <f>AR25*Monthly!E23*$AR$4</f>
        <v>2356200</v>
      </c>
      <c r="AT25" s="50">
        <f>AS25-(Monthly!S23-Monthly!R23)-AR25*Monthly!Q23</f>
        <v>964950</v>
      </c>
      <c r="AU25" s="50">
        <f>AS25*MAX(0,1-(MIN(MAX(Inputs!$B$33,0),60)/30))+AS24*MAX(0,1-ABS((MIN(MAX(Inputs!$B$33,0),60)/30)-1))+AS23*MAX(0,(MIN(MAX(Inputs!$B$33,0),60)/30)-1)</f>
        <v>2356200</v>
      </c>
      <c r="AV25" s="50">
        <f>AV24+AU25-(Monthly!S23-Monthly!R23)-AR25*Monthly!Q23-Monthly!X23-Monthly!Y23</f>
        <v>-14442900</v>
      </c>
      <c r="AW25" s="47" t="str">
        <f t="shared" si="5"/>
        <v/>
      </c>
      <c r="AY25" s="48">
        <f>IF($A25=0,0,IF(OR(Inputs!$B$38&lt;=1,$A25&gt;=Inputs!$B$38),$BB$4,Inputs!$B$36+($BB$4-Inputs!$B$36)*($A25-1)/(Inputs!$B$38-1)))</f>
        <v>0.95</v>
      </c>
      <c r="AZ25" s="49">
        <f>ROUNDDOWN(INT(Inputs!$B$7)*AY25+0.000000001,0)</f>
        <v>190</v>
      </c>
      <c r="BA25" s="50">
        <f>AZ25*Monthly!E23*$AZ$4</f>
        <v>2154600</v>
      </c>
      <c r="BB25" s="50">
        <f>BA25-(Monthly!S23-Monthly!R23)-AZ25*Monthly!Q23</f>
        <v>731850</v>
      </c>
      <c r="BC25" s="50">
        <f>BA25*MAX(0,1-(MIN(MAX(Inputs!$B$33,0),60)/30))+BA24*MAX(0,1-ABS((MIN(MAX(Inputs!$B$33,0),60)/30)-1))+BA23*MAX(0,(MIN(MAX(Inputs!$B$33,0),60)/30)-1)</f>
        <v>2154600</v>
      </c>
      <c r="BD25" s="50">
        <f>BD24+BC25-(Monthly!S23-Monthly!R23)-AZ25*Monthly!Q23-Monthly!X23-Monthly!Y23</f>
        <v>-17780700</v>
      </c>
      <c r="BE25" s="47" t="str">
        <f t="shared" si="6"/>
        <v/>
      </c>
      <c r="BG25" s="48">
        <f>IF($A25=0,0,IF(OR(Inputs!$B$38&lt;=1,$A25&gt;=Inputs!$B$38),$BJ$4,Inputs!$B$36+($BJ$4-Inputs!$B$36)*($A25-1)/(Inputs!$B$38-1)))</f>
        <v>0.95</v>
      </c>
      <c r="BH25" s="49">
        <f>ROUNDDOWN(INT(Inputs!$B$7)*BG25+0.000000001,0)</f>
        <v>190</v>
      </c>
      <c r="BI25" s="50">
        <f>BH25*Monthly!E23*$BH$4</f>
        <v>2394000</v>
      </c>
      <c r="BJ25" s="50">
        <f>BI25-(Monthly!S23-Monthly!R23)-BH25*Monthly!Q23</f>
        <v>971250</v>
      </c>
      <c r="BK25" s="50">
        <f>BI25*MAX(0,1-(MIN(MAX(Inputs!$B$33,0),60)/30))+BI24*MAX(0,1-ABS((MIN(MAX(Inputs!$B$33,0),60)/30)-1))+BI23*MAX(0,(MIN(MAX(Inputs!$B$33,0),60)/30)-1)</f>
        <v>2394000</v>
      </c>
      <c r="BL25" s="50">
        <f>BL24+BK25-(Monthly!S23-Monthly!R23)-BH25*Monthly!Q23-Monthly!X23-Monthly!Y23</f>
        <v>-14742000</v>
      </c>
      <c r="BM25" s="47" t="str">
        <f t="shared" si="7"/>
        <v/>
      </c>
      <c r="BO25" s="48">
        <f>IF($A25=0,0,IF(OR(Inputs!$B$38&lt;=1,$A25&gt;=Inputs!$B$38),$BR$4,Inputs!$B$36+($BR$4-Inputs!$B$36)*($A25-1)/(Inputs!$B$38-1)))</f>
        <v>0.95</v>
      </c>
      <c r="BP25" s="49">
        <f>ROUNDDOWN(INT(Inputs!$B$7)*BO25+0.000000001,0)</f>
        <v>190</v>
      </c>
      <c r="BQ25" s="50">
        <f>BP25*Monthly!E23*$BP$4</f>
        <v>2633400</v>
      </c>
      <c r="BR25" s="50">
        <f>BQ25-(Monthly!S23-Monthly!R23)-BP25*Monthly!Q23</f>
        <v>1210650</v>
      </c>
      <c r="BS25" s="50">
        <f>BQ25*MAX(0,1-(MIN(MAX(Inputs!$B$33,0),60)/30))+BQ24*MAX(0,1-ABS((MIN(MAX(Inputs!$B$33,0),60)/30)-1))+BQ23*MAX(0,(MIN(MAX(Inputs!$B$33,0),60)/30)-1)</f>
        <v>2633400</v>
      </c>
      <c r="BT25" s="50">
        <f>BT24+BS25-(Monthly!S23-Monthly!R23)-BP25*Monthly!Q23-Monthly!X23-Monthly!Y23</f>
        <v>-11703300</v>
      </c>
      <c r="BU25" s="47" t="str">
        <f t="shared" si="8"/>
        <v/>
      </c>
    </row>
    <row r="26" spans="1:73" x14ac:dyDescent="0.2">
      <c r="A26" s="56">
        <f>Monthly!A24</f>
        <v>19</v>
      </c>
      <c r="B26" s="56">
        <f>Monthly!B24</f>
        <v>2</v>
      </c>
      <c r="C26" s="48">
        <f>IF($A26=0,0,IF(OR(Inputs!$B$38&lt;=1,$A26&gt;=Inputs!$B$38),$F$4,Inputs!$B$36+($F$4-Inputs!$B$36)*($A26-1)/(Inputs!$B$38-1)))</f>
        <v>0.75</v>
      </c>
      <c r="D26" s="49">
        <f>ROUNDDOWN(INT(Inputs!$B$7)*C26+0.000000001,0)</f>
        <v>150</v>
      </c>
      <c r="E26" s="50">
        <f>D26*Monthly!E24*$D$4</f>
        <v>1701000</v>
      </c>
      <c r="F26" s="50">
        <f>E26-(Monthly!S24-Monthly!R24)-D26*Monthly!Q24</f>
        <v>341250</v>
      </c>
      <c r="G26" s="50">
        <f>E26*MAX(0,1-(MIN(MAX(Inputs!$B$33,0),60)/30))+E25*MAX(0,1-ABS((MIN(MAX(Inputs!$B$33,0),60)/30)-1))+E24*MAX(0,(MIN(MAX(Inputs!$B$33,0),60)/30)-1)</f>
        <v>1701000</v>
      </c>
      <c r="H26" s="50">
        <f>H25+G26-(Monthly!S24-Monthly!R24)-D26*Monthly!Q24-Monthly!X24-Monthly!Y24</f>
        <v>-21788250</v>
      </c>
      <c r="I26" s="47" t="str">
        <f t="shared" si="0"/>
        <v/>
      </c>
      <c r="K26" s="48">
        <f>IF($A26=0,0,IF(OR(Inputs!$B$38&lt;=1,$A26&gt;=Inputs!$B$38),$N$4,Inputs!$B$36+($N$4-Inputs!$B$36)*($A26-1)/(Inputs!$B$38-1)))</f>
        <v>0.75</v>
      </c>
      <c r="L26" s="49">
        <f>ROUNDDOWN(INT(Inputs!$B$7)*K26+0.000000001,0)</f>
        <v>150</v>
      </c>
      <c r="M26" s="50">
        <f>L26*Monthly!E24*$L$4</f>
        <v>1890000</v>
      </c>
      <c r="N26" s="50">
        <f>M26-(Monthly!S24-Monthly!R24)-L26*Monthly!Q24</f>
        <v>530250</v>
      </c>
      <c r="O26" s="50">
        <f>M26*MAX(0,1-(MIN(MAX(Inputs!$B$33,0),60)/30))+M25*MAX(0,1-ABS((MIN(MAX(Inputs!$B$33,0),60)/30)-1))+M24*MAX(0,(MIN(MAX(Inputs!$B$33,0),60)/30)-1)</f>
        <v>1890000</v>
      </c>
      <c r="P26" s="50">
        <f>P25+O26-(Monthly!S24-Monthly!R24)-L26*Monthly!Q24-Monthly!X24-Monthly!Y24</f>
        <v>-19125750</v>
      </c>
      <c r="Q26" s="47" t="str">
        <f t="shared" si="1"/>
        <v/>
      </c>
      <c r="S26" s="48">
        <f>IF($A26=0,0,IF(OR(Inputs!$B$38&lt;=1,$A26&gt;=Inputs!$B$38),$V$4,Inputs!$B$36+($V$4-Inputs!$B$36)*($A26-1)/(Inputs!$B$38-1)))</f>
        <v>0.75</v>
      </c>
      <c r="T26" s="49">
        <f>ROUNDDOWN(INT(Inputs!$B$7)*S26+0.000000001,0)</f>
        <v>150</v>
      </c>
      <c r="U26" s="50">
        <f>T26*Monthly!E24*$T$4</f>
        <v>2079000.0000000002</v>
      </c>
      <c r="V26" s="50">
        <f>U26-(Monthly!S24-Monthly!R24)-T26*Monthly!Q24</f>
        <v>719250.00000000023</v>
      </c>
      <c r="W26" s="50">
        <f>U26*MAX(0,1-(MIN(MAX(Inputs!$B$33,0),60)/30))+U25*MAX(0,1-ABS((MIN(MAX(Inputs!$B$33,0),60)/30)-1))+U24*MAX(0,(MIN(MAX(Inputs!$B$33,0),60)/30)-1)</f>
        <v>2079000.0000000002</v>
      </c>
      <c r="X26" s="50">
        <f>X25+W26-(Monthly!S24-Monthly!R24)-T26*Monthly!Q24-Monthly!X24-Monthly!Y24</f>
        <v>-16463250</v>
      </c>
      <c r="Y26" s="47" t="str">
        <f t="shared" si="2"/>
        <v/>
      </c>
      <c r="AA26" s="48">
        <f>IF($A26=0,0,IF(OR(Inputs!$B$38&lt;=1,$A26&gt;=Inputs!$B$38),$AD$4,Inputs!$B$36+($AD$4-Inputs!$B$36)*($A26-1)/(Inputs!$B$38-1)))</f>
        <v>0.85</v>
      </c>
      <c r="AB26" s="49">
        <f>ROUNDDOWN(INT(Inputs!$B$7)*AA26+0.000000001,0)</f>
        <v>170</v>
      </c>
      <c r="AC26" s="50">
        <f>AB26*Monthly!E24*$AB$4</f>
        <v>1927800</v>
      </c>
      <c r="AD26" s="50">
        <f>AC26-(Monthly!S24-Monthly!R24)-AB26*Monthly!Q24</f>
        <v>536550</v>
      </c>
      <c r="AE26" s="50">
        <f>AC26*MAX(0,1-(MIN(MAX(Inputs!$B$33,0),60)/30))+AC25*MAX(0,1-ABS((MIN(MAX(Inputs!$B$33,0),60)/30)-1))+AC24*MAX(0,(MIN(MAX(Inputs!$B$33,0),60)/30)-1)</f>
        <v>1927800</v>
      </c>
      <c r="AF26" s="50">
        <f>AF25+AE26-(Monthly!S24-Monthly!R24)-AB26*Monthly!Q24-Monthly!X24-Monthly!Y24</f>
        <v>-19418550</v>
      </c>
      <c r="AG26" s="47" t="str">
        <f t="shared" si="3"/>
        <v/>
      </c>
      <c r="AI26" s="48">
        <f>IF($A26=0,0,IF(OR(Inputs!$B$38&lt;=1,$A26&gt;=Inputs!$B$38),$AL$4,Inputs!$B$36+($AL$4-Inputs!$B$36)*($A26-1)/(Inputs!$B$38-1)))</f>
        <v>0.85</v>
      </c>
      <c r="AJ26" s="49">
        <f>ROUNDDOWN(INT(Inputs!$B$7)*AI26+0.000000001,0)</f>
        <v>170</v>
      </c>
      <c r="AK26" s="50">
        <f>AJ26*Monthly!E24*$AJ$4</f>
        <v>2142000</v>
      </c>
      <c r="AL26" s="50">
        <f>AK26-(Monthly!S24-Monthly!R24)-AJ26*Monthly!Q24</f>
        <v>750750</v>
      </c>
      <c r="AM26" s="50">
        <f>AK26*MAX(0,1-(MIN(MAX(Inputs!$B$33,0),60)/30))+AK25*MAX(0,1-ABS((MIN(MAX(Inputs!$B$33,0),60)/30)-1))+AK24*MAX(0,(MIN(MAX(Inputs!$B$33,0),60)/30)-1)</f>
        <v>2142000</v>
      </c>
      <c r="AN26" s="50">
        <f>AN25+AM26-(Monthly!S24-Monthly!R24)-AJ26*Monthly!Q24-Monthly!X24-Monthly!Y24</f>
        <v>-16448250</v>
      </c>
      <c r="AO26" s="47" t="str">
        <f t="shared" si="4"/>
        <v/>
      </c>
      <c r="AQ26" s="48">
        <f>IF($A26=0,0,IF(OR(Inputs!$B$38&lt;=1,$A26&gt;=Inputs!$B$38),$AT$4,Inputs!$B$36+($AT$4-Inputs!$B$36)*($A26-1)/(Inputs!$B$38-1)))</f>
        <v>0.85</v>
      </c>
      <c r="AR26" s="49">
        <f>ROUNDDOWN(INT(Inputs!$B$7)*AQ26+0.000000001,0)</f>
        <v>170</v>
      </c>
      <c r="AS26" s="50">
        <f>AR26*Monthly!E24*$AR$4</f>
        <v>2356200</v>
      </c>
      <c r="AT26" s="50">
        <f>AS26-(Monthly!S24-Monthly!R24)-AR26*Monthly!Q24</f>
        <v>964950</v>
      </c>
      <c r="AU26" s="50">
        <f>AS26*MAX(0,1-(MIN(MAX(Inputs!$B$33,0),60)/30))+AS25*MAX(0,1-ABS((MIN(MAX(Inputs!$B$33,0),60)/30)-1))+AS24*MAX(0,(MIN(MAX(Inputs!$B$33,0),60)/30)-1)</f>
        <v>2356200</v>
      </c>
      <c r="AV26" s="50">
        <f>AV25+AU26-(Monthly!S24-Monthly!R24)-AR26*Monthly!Q24-Monthly!X24-Monthly!Y24</f>
        <v>-13477950</v>
      </c>
      <c r="AW26" s="47" t="str">
        <f t="shared" si="5"/>
        <v/>
      </c>
      <c r="AY26" s="48">
        <f>IF($A26=0,0,IF(OR(Inputs!$B$38&lt;=1,$A26&gt;=Inputs!$B$38),$BB$4,Inputs!$B$36+($BB$4-Inputs!$B$36)*($A26-1)/(Inputs!$B$38-1)))</f>
        <v>0.95</v>
      </c>
      <c r="AZ26" s="49">
        <f>ROUNDDOWN(INT(Inputs!$B$7)*AY26+0.000000001,0)</f>
        <v>190</v>
      </c>
      <c r="BA26" s="50">
        <f>AZ26*Monthly!E24*$AZ$4</f>
        <v>2154600</v>
      </c>
      <c r="BB26" s="50">
        <f>BA26-(Monthly!S24-Monthly!R24)-AZ26*Monthly!Q24</f>
        <v>731850</v>
      </c>
      <c r="BC26" s="50">
        <f>BA26*MAX(0,1-(MIN(MAX(Inputs!$B$33,0),60)/30))+BA25*MAX(0,1-ABS((MIN(MAX(Inputs!$B$33,0),60)/30)-1))+BA24*MAX(0,(MIN(MAX(Inputs!$B$33,0),60)/30)-1)</f>
        <v>2154600</v>
      </c>
      <c r="BD26" s="50">
        <f>BD25+BC26-(Monthly!S24-Monthly!R24)-AZ26*Monthly!Q24-Monthly!X24-Monthly!Y24</f>
        <v>-17048850</v>
      </c>
      <c r="BE26" s="47" t="str">
        <f t="shared" si="6"/>
        <v/>
      </c>
      <c r="BG26" s="48">
        <f>IF($A26=0,0,IF(OR(Inputs!$B$38&lt;=1,$A26&gt;=Inputs!$B$38),$BJ$4,Inputs!$B$36+($BJ$4-Inputs!$B$36)*($A26-1)/(Inputs!$B$38-1)))</f>
        <v>0.95</v>
      </c>
      <c r="BH26" s="49">
        <f>ROUNDDOWN(INT(Inputs!$B$7)*BG26+0.000000001,0)</f>
        <v>190</v>
      </c>
      <c r="BI26" s="50">
        <f>BH26*Monthly!E24*$BH$4</f>
        <v>2394000</v>
      </c>
      <c r="BJ26" s="50">
        <f>BI26-(Monthly!S24-Monthly!R24)-BH26*Monthly!Q24</f>
        <v>971250</v>
      </c>
      <c r="BK26" s="50">
        <f>BI26*MAX(0,1-(MIN(MAX(Inputs!$B$33,0),60)/30))+BI25*MAX(0,1-ABS((MIN(MAX(Inputs!$B$33,0),60)/30)-1))+BI24*MAX(0,(MIN(MAX(Inputs!$B$33,0),60)/30)-1)</f>
        <v>2394000</v>
      </c>
      <c r="BL26" s="50">
        <f>BL25+BK26-(Monthly!S24-Monthly!R24)-BH26*Monthly!Q24-Monthly!X24-Monthly!Y24</f>
        <v>-13770750</v>
      </c>
      <c r="BM26" s="47" t="str">
        <f t="shared" si="7"/>
        <v/>
      </c>
      <c r="BO26" s="48">
        <f>IF($A26=0,0,IF(OR(Inputs!$B$38&lt;=1,$A26&gt;=Inputs!$B$38),$BR$4,Inputs!$B$36+($BR$4-Inputs!$B$36)*($A26-1)/(Inputs!$B$38-1)))</f>
        <v>0.95</v>
      </c>
      <c r="BP26" s="49">
        <f>ROUNDDOWN(INT(Inputs!$B$7)*BO26+0.000000001,0)</f>
        <v>190</v>
      </c>
      <c r="BQ26" s="50">
        <f>BP26*Monthly!E24*$BP$4</f>
        <v>2633400</v>
      </c>
      <c r="BR26" s="50">
        <f>BQ26-(Monthly!S24-Monthly!R24)-BP26*Monthly!Q24</f>
        <v>1210650</v>
      </c>
      <c r="BS26" s="50">
        <f>BQ26*MAX(0,1-(MIN(MAX(Inputs!$B$33,0),60)/30))+BQ25*MAX(0,1-ABS((MIN(MAX(Inputs!$B$33,0),60)/30)-1))+BQ24*MAX(0,(MIN(MAX(Inputs!$B$33,0),60)/30)-1)</f>
        <v>2633400</v>
      </c>
      <c r="BT26" s="50">
        <f>BT25+BS26-(Monthly!S24-Monthly!R24)-BP26*Monthly!Q24-Monthly!X24-Monthly!Y24</f>
        <v>-10492650</v>
      </c>
      <c r="BU26" s="47" t="str">
        <f t="shared" si="8"/>
        <v/>
      </c>
    </row>
    <row r="27" spans="1:73" x14ac:dyDescent="0.2">
      <c r="A27" s="56">
        <f>Monthly!A25</f>
        <v>20</v>
      </c>
      <c r="B27" s="56">
        <f>Monthly!B25</f>
        <v>2</v>
      </c>
      <c r="C27" s="48">
        <f>IF($A27=0,0,IF(OR(Inputs!$B$38&lt;=1,$A27&gt;=Inputs!$B$38),$F$4,Inputs!$B$36+($F$4-Inputs!$B$36)*($A27-1)/(Inputs!$B$38-1)))</f>
        <v>0.75</v>
      </c>
      <c r="D27" s="49">
        <f>ROUNDDOWN(INT(Inputs!$B$7)*C27+0.000000001,0)</f>
        <v>150</v>
      </c>
      <c r="E27" s="50">
        <f>D27*Monthly!E25*$D$4</f>
        <v>1701000</v>
      </c>
      <c r="F27" s="50">
        <f>E27-(Monthly!S25-Monthly!R25)-D27*Monthly!Q25</f>
        <v>341250</v>
      </c>
      <c r="G27" s="50">
        <f>E27*MAX(0,1-(MIN(MAX(Inputs!$B$33,0),60)/30))+E26*MAX(0,1-ABS((MIN(MAX(Inputs!$B$33,0),60)/30)-1))+E25*MAX(0,(MIN(MAX(Inputs!$B$33,0),60)/30)-1)</f>
        <v>1701000</v>
      </c>
      <c r="H27" s="50">
        <f>H26+G27-(Monthly!S25-Monthly!R25)-D27*Monthly!Q25-Monthly!X25-Monthly!Y25</f>
        <v>-21447000</v>
      </c>
      <c r="I27" s="47" t="str">
        <f t="shared" si="0"/>
        <v/>
      </c>
      <c r="K27" s="48">
        <f>IF($A27=0,0,IF(OR(Inputs!$B$38&lt;=1,$A27&gt;=Inputs!$B$38),$N$4,Inputs!$B$36+($N$4-Inputs!$B$36)*($A27-1)/(Inputs!$B$38-1)))</f>
        <v>0.75</v>
      </c>
      <c r="L27" s="49">
        <f>ROUNDDOWN(INT(Inputs!$B$7)*K27+0.000000001,0)</f>
        <v>150</v>
      </c>
      <c r="M27" s="50">
        <f>L27*Monthly!E25*$L$4</f>
        <v>1890000</v>
      </c>
      <c r="N27" s="50">
        <f>M27-(Monthly!S25-Monthly!R25)-L27*Monthly!Q25</f>
        <v>530250</v>
      </c>
      <c r="O27" s="50">
        <f>M27*MAX(0,1-(MIN(MAX(Inputs!$B$33,0),60)/30))+M26*MAX(0,1-ABS((MIN(MAX(Inputs!$B$33,0),60)/30)-1))+M25*MAX(0,(MIN(MAX(Inputs!$B$33,0),60)/30)-1)</f>
        <v>1890000</v>
      </c>
      <c r="P27" s="50">
        <f>P26+O27-(Monthly!S25-Monthly!R25)-L27*Monthly!Q25-Monthly!X25-Monthly!Y25</f>
        <v>-18595500</v>
      </c>
      <c r="Q27" s="47" t="str">
        <f t="shared" si="1"/>
        <v/>
      </c>
      <c r="S27" s="48">
        <f>IF($A27=0,0,IF(OR(Inputs!$B$38&lt;=1,$A27&gt;=Inputs!$B$38),$V$4,Inputs!$B$36+($V$4-Inputs!$B$36)*($A27-1)/(Inputs!$B$38-1)))</f>
        <v>0.75</v>
      </c>
      <c r="T27" s="49">
        <f>ROUNDDOWN(INT(Inputs!$B$7)*S27+0.000000001,0)</f>
        <v>150</v>
      </c>
      <c r="U27" s="50">
        <f>T27*Monthly!E25*$T$4</f>
        <v>2079000.0000000002</v>
      </c>
      <c r="V27" s="50">
        <f>U27-(Monthly!S25-Monthly!R25)-T27*Monthly!Q25</f>
        <v>719250.00000000023</v>
      </c>
      <c r="W27" s="50">
        <f>U27*MAX(0,1-(MIN(MAX(Inputs!$B$33,0),60)/30))+U26*MAX(0,1-ABS((MIN(MAX(Inputs!$B$33,0),60)/30)-1))+U25*MAX(0,(MIN(MAX(Inputs!$B$33,0),60)/30)-1)</f>
        <v>2079000.0000000002</v>
      </c>
      <c r="X27" s="50">
        <f>X26+W27-(Monthly!S25-Monthly!R25)-T27*Monthly!Q25-Monthly!X25-Monthly!Y25</f>
        <v>-15744000</v>
      </c>
      <c r="Y27" s="47" t="str">
        <f t="shared" si="2"/>
        <v/>
      </c>
      <c r="AA27" s="48">
        <f>IF($A27=0,0,IF(OR(Inputs!$B$38&lt;=1,$A27&gt;=Inputs!$B$38),$AD$4,Inputs!$B$36+($AD$4-Inputs!$B$36)*($A27-1)/(Inputs!$B$38-1)))</f>
        <v>0.85</v>
      </c>
      <c r="AB27" s="49">
        <f>ROUNDDOWN(INT(Inputs!$B$7)*AA27+0.000000001,0)</f>
        <v>170</v>
      </c>
      <c r="AC27" s="50">
        <f>AB27*Monthly!E25*$AB$4</f>
        <v>1927800</v>
      </c>
      <c r="AD27" s="50">
        <f>AC27-(Monthly!S25-Monthly!R25)-AB27*Monthly!Q25</f>
        <v>536550</v>
      </c>
      <c r="AE27" s="50">
        <f>AC27*MAX(0,1-(MIN(MAX(Inputs!$B$33,0),60)/30))+AC26*MAX(0,1-ABS((MIN(MAX(Inputs!$B$33,0),60)/30)-1))+AC25*MAX(0,(MIN(MAX(Inputs!$B$33,0),60)/30)-1)</f>
        <v>1927800</v>
      </c>
      <c r="AF27" s="50">
        <f>AF26+AE27-(Monthly!S25-Monthly!R25)-AB27*Monthly!Q25-Monthly!X25-Monthly!Y25</f>
        <v>-18882000</v>
      </c>
      <c r="AG27" s="47" t="str">
        <f t="shared" si="3"/>
        <v/>
      </c>
      <c r="AI27" s="48">
        <f>IF($A27=0,0,IF(OR(Inputs!$B$38&lt;=1,$A27&gt;=Inputs!$B$38),$AL$4,Inputs!$B$36+($AL$4-Inputs!$B$36)*($A27-1)/(Inputs!$B$38-1)))</f>
        <v>0.85</v>
      </c>
      <c r="AJ27" s="49">
        <f>ROUNDDOWN(INT(Inputs!$B$7)*AI27+0.000000001,0)</f>
        <v>170</v>
      </c>
      <c r="AK27" s="50">
        <f>AJ27*Monthly!E25*$AJ$4</f>
        <v>2142000</v>
      </c>
      <c r="AL27" s="50">
        <f>AK27-(Monthly!S25-Monthly!R25)-AJ27*Monthly!Q25</f>
        <v>750750</v>
      </c>
      <c r="AM27" s="50">
        <f>AK27*MAX(0,1-(MIN(MAX(Inputs!$B$33,0),60)/30))+AK26*MAX(0,1-ABS((MIN(MAX(Inputs!$B$33,0),60)/30)-1))+AK25*MAX(0,(MIN(MAX(Inputs!$B$33,0),60)/30)-1)</f>
        <v>2142000</v>
      </c>
      <c r="AN27" s="50">
        <f>AN26+AM27-(Monthly!S25-Monthly!R25)-AJ27*Monthly!Q25-Monthly!X25-Monthly!Y25</f>
        <v>-15697500</v>
      </c>
      <c r="AO27" s="47" t="str">
        <f t="shared" si="4"/>
        <v/>
      </c>
      <c r="AQ27" s="48">
        <f>IF($A27=0,0,IF(OR(Inputs!$B$38&lt;=1,$A27&gt;=Inputs!$B$38),$AT$4,Inputs!$B$36+($AT$4-Inputs!$B$36)*($A27-1)/(Inputs!$B$38-1)))</f>
        <v>0.85</v>
      </c>
      <c r="AR27" s="49">
        <f>ROUNDDOWN(INT(Inputs!$B$7)*AQ27+0.000000001,0)</f>
        <v>170</v>
      </c>
      <c r="AS27" s="50">
        <f>AR27*Monthly!E25*$AR$4</f>
        <v>2356200</v>
      </c>
      <c r="AT27" s="50">
        <f>AS27-(Monthly!S25-Monthly!R25)-AR27*Monthly!Q25</f>
        <v>964950</v>
      </c>
      <c r="AU27" s="50">
        <f>AS27*MAX(0,1-(MIN(MAX(Inputs!$B$33,0),60)/30))+AS26*MAX(0,1-ABS((MIN(MAX(Inputs!$B$33,0),60)/30)-1))+AS25*MAX(0,(MIN(MAX(Inputs!$B$33,0),60)/30)-1)</f>
        <v>2356200</v>
      </c>
      <c r="AV27" s="50">
        <f>AV26+AU27-(Monthly!S25-Monthly!R25)-AR27*Monthly!Q25-Monthly!X25-Monthly!Y25</f>
        <v>-12513000</v>
      </c>
      <c r="AW27" s="47" t="str">
        <f t="shared" si="5"/>
        <v/>
      </c>
      <c r="AY27" s="48">
        <f>IF($A27=0,0,IF(OR(Inputs!$B$38&lt;=1,$A27&gt;=Inputs!$B$38),$BB$4,Inputs!$B$36+($BB$4-Inputs!$B$36)*($A27-1)/(Inputs!$B$38-1)))</f>
        <v>0.95</v>
      </c>
      <c r="AZ27" s="49">
        <f>ROUNDDOWN(INT(Inputs!$B$7)*AY27+0.000000001,0)</f>
        <v>190</v>
      </c>
      <c r="BA27" s="50">
        <f>AZ27*Monthly!E25*$AZ$4</f>
        <v>2154600</v>
      </c>
      <c r="BB27" s="50">
        <f>BA27-(Monthly!S25-Monthly!R25)-AZ27*Monthly!Q25</f>
        <v>731850</v>
      </c>
      <c r="BC27" s="50">
        <f>BA27*MAX(0,1-(MIN(MAX(Inputs!$B$33,0),60)/30))+BA26*MAX(0,1-ABS((MIN(MAX(Inputs!$B$33,0),60)/30)-1))+BA25*MAX(0,(MIN(MAX(Inputs!$B$33,0),60)/30)-1)</f>
        <v>2154600</v>
      </c>
      <c r="BD27" s="50">
        <f>BD26+BC27-(Monthly!S25-Monthly!R25)-AZ27*Monthly!Q25-Monthly!X25-Monthly!Y25</f>
        <v>-16317000</v>
      </c>
      <c r="BE27" s="47" t="str">
        <f t="shared" si="6"/>
        <v/>
      </c>
      <c r="BG27" s="48">
        <f>IF($A27=0,0,IF(OR(Inputs!$B$38&lt;=1,$A27&gt;=Inputs!$B$38),$BJ$4,Inputs!$B$36+($BJ$4-Inputs!$B$36)*($A27-1)/(Inputs!$B$38-1)))</f>
        <v>0.95</v>
      </c>
      <c r="BH27" s="49">
        <f>ROUNDDOWN(INT(Inputs!$B$7)*BG27+0.000000001,0)</f>
        <v>190</v>
      </c>
      <c r="BI27" s="50">
        <f>BH27*Monthly!E25*$BH$4</f>
        <v>2394000</v>
      </c>
      <c r="BJ27" s="50">
        <f>BI27-(Monthly!S25-Monthly!R25)-BH27*Monthly!Q25</f>
        <v>971250</v>
      </c>
      <c r="BK27" s="50">
        <f>BI27*MAX(0,1-(MIN(MAX(Inputs!$B$33,0),60)/30))+BI26*MAX(0,1-ABS((MIN(MAX(Inputs!$B$33,0),60)/30)-1))+BI25*MAX(0,(MIN(MAX(Inputs!$B$33,0),60)/30)-1)</f>
        <v>2394000</v>
      </c>
      <c r="BL27" s="50">
        <f>BL26+BK27-(Monthly!S25-Monthly!R25)-BH27*Monthly!Q25-Monthly!X25-Monthly!Y25</f>
        <v>-12799500</v>
      </c>
      <c r="BM27" s="47" t="str">
        <f t="shared" si="7"/>
        <v/>
      </c>
      <c r="BO27" s="48">
        <f>IF($A27=0,0,IF(OR(Inputs!$B$38&lt;=1,$A27&gt;=Inputs!$B$38),$BR$4,Inputs!$B$36+($BR$4-Inputs!$B$36)*($A27-1)/(Inputs!$B$38-1)))</f>
        <v>0.95</v>
      </c>
      <c r="BP27" s="49">
        <f>ROUNDDOWN(INT(Inputs!$B$7)*BO27+0.000000001,0)</f>
        <v>190</v>
      </c>
      <c r="BQ27" s="50">
        <f>BP27*Monthly!E25*$BP$4</f>
        <v>2633400</v>
      </c>
      <c r="BR27" s="50">
        <f>BQ27-(Monthly!S25-Monthly!R25)-BP27*Monthly!Q25</f>
        <v>1210650</v>
      </c>
      <c r="BS27" s="50">
        <f>BQ27*MAX(0,1-(MIN(MAX(Inputs!$B$33,0),60)/30))+BQ26*MAX(0,1-ABS((MIN(MAX(Inputs!$B$33,0),60)/30)-1))+BQ25*MAX(0,(MIN(MAX(Inputs!$B$33,0),60)/30)-1)</f>
        <v>2633400</v>
      </c>
      <c r="BT27" s="50">
        <f>BT26+BS27-(Monthly!S25-Monthly!R25)-BP27*Monthly!Q25-Monthly!X25-Monthly!Y25</f>
        <v>-9282000</v>
      </c>
      <c r="BU27" s="47" t="str">
        <f t="shared" si="8"/>
        <v/>
      </c>
    </row>
    <row r="28" spans="1:73" x14ac:dyDescent="0.2">
      <c r="A28" s="56">
        <f>Monthly!A26</f>
        <v>21</v>
      </c>
      <c r="B28" s="56">
        <f>Monthly!B26</f>
        <v>2</v>
      </c>
      <c r="C28" s="48">
        <f>IF($A28=0,0,IF(OR(Inputs!$B$38&lt;=1,$A28&gt;=Inputs!$B$38),$F$4,Inputs!$B$36+($F$4-Inputs!$B$36)*($A28-1)/(Inputs!$B$38-1)))</f>
        <v>0.75</v>
      </c>
      <c r="D28" s="49">
        <f>ROUNDDOWN(INT(Inputs!$B$7)*C28+0.000000001,0)</f>
        <v>150</v>
      </c>
      <c r="E28" s="50">
        <f>D28*Monthly!E26*$D$4</f>
        <v>1701000</v>
      </c>
      <c r="F28" s="50">
        <f>E28-(Monthly!S26-Monthly!R26)-D28*Monthly!Q26</f>
        <v>341250</v>
      </c>
      <c r="G28" s="50">
        <f>E28*MAX(0,1-(MIN(MAX(Inputs!$B$33,0),60)/30))+E27*MAX(0,1-ABS((MIN(MAX(Inputs!$B$33,0),60)/30)-1))+E26*MAX(0,(MIN(MAX(Inputs!$B$33,0),60)/30)-1)</f>
        <v>1701000</v>
      </c>
      <c r="H28" s="50">
        <f>H27+G28-(Monthly!S26-Monthly!R26)-D28*Monthly!Q26-Monthly!X26-Monthly!Y26</f>
        <v>-21105750</v>
      </c>
      <c r="I28" s="47" t="str">
        <f t="shared" si="0"/>
        <v/>
      </c>
      <c r="K28" s="48">
        <f>IF($A28=0,0,IF(OR(Inputs!$B$38&lt;=1,$A28&gt;=Inputs!$B$38),$N$4,Inputs!$B$36+($N$4-Inputs!$B$36)*($A28-1)/(Inputs!$B$38-1)))</f>
        <v>0.75</v>
      </c>
      <c r="L28" s="49">
        <f>ROUNDDOWN(INT(Inputs!$B$7)*K28+0.000000001,0)</f>
        <v>150</v>
      </c>
      <c r="M28" s="50">
        <f>L28*Monthly!E26*$L$4</f>
        <v>1890000</v>
      </c>
      <c r="N28" s="50">
        <f>M28-(Monthly!S26-Monthly!R26)-L28*Monthly!Q26</f>
        <v>530250</v>
      </c>
      <c r="O28" s="50">
        <f>M28*MAX(0,1-(MIN(MAX(Inputs!$B$33,0),60)/30))+M27*MAX(0,1-ABS((MIN(MAX(Inputs!$B$33,0),60)/30)-1))+M26*MAX(0,(MIN(MAX(Inputs!$B$33,0),60)/30)-1)</f>
        <v>1890000</v>
      </c>
      <c r="P28" s="50">
        <f>P27+O28-(Monthly!S26-Monthly!R26)-L28*Monthly!Q26-Monthly!X26-Monthly!Y26</f>
        <v>-18065250</v>
      </c>
      <c r="Q28" s="47" t="str">
        <f t="shared" si="1"/>
        <v/>
      </c>
      <c r="S28" s="48">
        <f>IF($A28=0,0,IF(OR(Inputs!$B$38&lt;=1,$A28&gt;=Inputs!$B$38),$V$4,Inputs!$B$36+($V$4-Inputs!$B$36)*($A28-1)/(Inputs!$B$38-1)))</f>
        <v>0.75</v>
      </c>
      <c r="T28" s="49">
        <f>ROUNDDOWN(INT(Inputs!$B$7)*S28+0.000000001,0)</f>
        <v>150</v>
      </c>
      <c r="U28" s="50">
        <f>T28*Monthly!E26*$T$4</f>
        <v>2079000.0000000002</v>
      </c>
      <c r="V28" s="50">
        <f>U28-(Monthly!S26-Monthly!R26)-T28*Monthly!Q26</f>
        <v>719250.00000000023</v>
      </c>
      <c r="W28" s="50">
        <f>U28*MAX(0,1-(MIN(MAX(Inputs!$B$33,0),60)/30))+U27*MAX(0,1-ABS((MIN(MAX(Inputs!$B$33,0),60)/30)-1))+U26*MAX(0,(MIN(MAX(Inputs!$B$33,0),60)/30)-1)</f>
        <v>2079000.0000000002</v>
      </c>
      <c r="X28" s="50">
        <f>X27+W28-(Monthly!S26-Monthly!R26)-T28*Monthly!Q26-Monthly!X26-Monthly!Y26</f>
        <v>-15024750</v>
      </c>
      <c r="Y28" s="47" t="str">
        <f t="shared" si="2"/>
        <v/>
      </c>
      <c r="AA28" s="48">
        <f>IF($A28=0,0,IF(OR(Inputs!$B$38&lt;=1,$A28&gt;=Inputs!$B$38),$AD$4,Inputs!$B$36+($AD$4-Inputs!$B$36)*($A28-1)/(Inputs!$B$38-1)))</f>
        <v>0.85</v>
      </c>
      <c r="AB28" s="49">
        <f>ROUNDDOWN(INT(Inputs!$B$7)*AA28+0.000000001,0)</f>
        <v>170</v>
      </c>
      <c r="AC28" s="50">
        <f>AB28*Monthly!E26*$AB$4</f>
        <v>1927800</v>
      </c>
      <c r="AD28" s="50">
        <f>AC28-(Monthly!S26-Monthly!R26)-AB28*Monthly!Q26</f>
        <v>536550</v>
      </c>
      <c r="AE28" s="50">
        <f>AC28*MAX(0,1-(MIN(MAX(Inputs!$B$33,0),60)/30))+AC27*MAX(0,1-ABS((MIN(MAX(Inputs!$B$33,0),60)/30)-1))+AC26*MAX(0,(MIN(MAX(Inputs!$B$33,0),60)/30)-1)</f>
        <v>1927800</v>
      </c>
      <c r="AF28" s="50">
        <f>AF27+AE28-(Monthly!S26-Monthly!R26)-AB28*Monthly!Q26-Monthly!X26-Monthly!Y26</f>
        <v>-18345450</v>
      </c>
      <c r="AG28" s="47" t="str">
        <f t="shared" si="3"/>
        <v/>
      </c>
      <c r="AI28" s="48">
        <f>IF($A28=0,0,IF(OR(Inputs!$B$38&lt;=1,$A28&gt;=Inputs!$B$38),$AL$4,Inputs!$B$36+($AL$4-Inputs!$B$36)*($A28-1)/(Inputs!$B$38-1)))</f>
        <v>0.85</v>
      </c>
      <c r="AJ28" s="49">
        <f>ROUNDDOWN(INT(Inputs!$B$7)*AI28+0.000000001,0)</f>
        <v>170</v>
      </c>
      <c r="AK28" s="50">
        <f>AJ28*Monthly!E26*$AJ$4</f>
        <v>2142000</v>
      </c>
      <c r="AL28" s="50">
        <f>AK28-(Monthly!S26-Monthly!R26)-AJ28*Monthly!Q26</f>
        <v>750750</v>
      </c>
      <c r="AM28" s="50">
        <f>AK28*MAX(0,1-(MIN(MAX(Inputs!$B$33,0),60)/30))+AK27*MAX(0,1-ABS((MIN(MAX(Inputs!$B$33,0),60)/30)-1))+AK26*MAX(0,(MIN(MAX(Inputs!$B$33,0),60)/30)-1)</f>
        <v>2142000</v>
      </c>
      <c r="AN28" s="50">
        <f>AN27+AM28-(Monthly!S26-Monthly!R26)-AJ28*Monthly!Q26-Monthly!X26-Monthly!Y26</f>
        <v>-14946750</v>
      </c>
      <c r="AO28" s="47" t="str">
        <f t="shared" si="4"/>
        <v/>
      </c>
      <c r="AQ28" s="48">
        <f>IF($A28=0,0,IF(OR(Inputs!$B$38&lt;=1,$A28&gt;=Inputs!$B$38),$AT$4,Inputs!$B$36+($AT$4-Inputs!$B$36)*($A28-1)/(Inputs!$B$38-1)))</f>
        <v>0.85</v>
      </c>
      <c r="AR28" s="49">
        <f>ROUNDDOWN(INT(Inputs!$B$7)*AQ28+0.000000001,0)</f>
        <v>170</v>
      </c>
      <c r="AS28" s="50">
        <f>AR28*Monthly!E26*$AR$4</f>
        <v>2356200</v>
      </c>
      <c r="AT28" s="50">
        <f>AS28-(Monthly!S26-Monthly!R26)-AR28*Monthly!Q26</f>
        <v>964950</v>
      </c>
      <c r="AU28" s="50">
        <f>AS28*MAX(0,1-(MIN(MAX(Inputs!$B$33,0),60)/30))+AS27*MAX(0,1-ABS((MIN(MAX(Inputs!$B$33,0),60)/30)-1))+AS26*MAX(0,(MIN(MAX(Inputs!$B$33,0),60)/30)-1)</f>
        <v>2356200</v>
      </c>
      <c r="AV28" s="50">
        <f>AV27+AU28-(Monthly!S26-Monthly!R26)-AR28*Monthly!Q26-Monthly!X26-Monthly!Y26</f>
        <v>-11548050</v>
      </c>
      <c r="AW28" s="47" t="str">
        <f t="shared" si="5"/>
        <v/>
      </c>
      <c r="AY28" s="48">
        <f>IF($A28=0,0,IF(OR(Inputs!$B$38&lt;=1,$A28&gt;=Inputs!$B$38),$BB$4,Inputs!$B$36+($BB$4-Inputs!$B$36)*($A28-1)/(Inputs!$B$38-1)))</f>
        <v>0.95</v>
      </c>
      <c r="AZ28" s="49">
        <f>ROUNDDOWN(INT(Inputs!$B$7)*AY28+0.000000001,0)</f>
        <v>190</v>
      </c>
      <c r="BA28" s="50">
        <f>AZ28*Monthly!E26*$AZ$4</f>
        <v>2154600</v>
      </c>
      <c r="BB28" s="50">
        <f>BA28-(Monthly!S26-Monthly!R26)-AZ28*Monthly!Q26</f>
        <v>731850</v>
      </c>
      <c r="BC28" s="50">
        <f>BA28*MAX(0,1-(MIN(MAX(Inputs!$B$33,0),60)/30))+BA27*MAX(0,1-ABS((MIN(MAX(Inputs!$B$33,0),60)/30)-1))+BA26*MAX(0,(MIN(MAX(Inputs!$B$33,0),60)/30)-1)</f>
        <v>2154600</v>
      </c>
      <c r="BD28" s="50">
        <f>BD27+BC28-(Monthly!S26-Monthly!R26)-AZ28*Monthly!Q26-Monthly!X26-Monthly!Y26</f>
        <v>-15585150</v>
      </c>
      <c r="BE28" s="47" t="str">
        <f t="shared" si="6"/>
        <v/>
      </c>
      <c r="BG28" s="48">
        <f>IF($A28=0,0,IF(OR(Inputs!$B$38&lt;=1,$A28&gt;=Inputs!$B$38),$BJ$4,Inputs!$B$36+($BJ$4-Inputs!$B$36)*($A28-1)/(Inputs!$B$38-1)))</f>
        <v>0.95</v>
      </c>
      <c r="BH28" s="49">
        <f>ROUNDDOWN(INT(Inputs!$B$7)*BG28+0.000000001,0)</f>
        <v>190</v>
      </c>
      <c r="BI28" s="50">
        <f>BH28*Monthly!E26*$BH$4</f>
        <v>2394000</v>
      </c>
      <c r="BJ28" s="50">
        <f>BI28-(Monthly!S26-Monthly!R26)-BH28*Monthly!Q26</f>
        <v>971250</v>
      </c>
      <c r="BK28" s="50">
        <f>BI28*MAX(0,1-(MIN(MAX(Inputs!$B$33,0),60)/30))+BI27*MAX(0,1-ABS((MIN(MAX(Inputs!$B$33,0),60)/30)-1))+BI26*MAX(0,(MIN(MAX(Inputs!$B$33,0),60)/30)-1)</f>
        <v>2394000</v>
      </c>
      <c r="BL28" s="50">
        <f>BL27+BK28-(Monthly!S26-Monthly!R26)-BH28*Monthly!Q26-Monthly!X26-Monthly!Y26</f>
        <v>-11828250</v>
      </c>
      <c r="BM28" s="47" t="str">
        <f t="shared" si="7"/>
        <v/>
      </c>
      <c r="BO28" s="48">
        <f>IF($A28=0,0,IF(OR(Inputs!$B$38&lt;=1,$A28&gt;=Inputs!$B$38),$BR$4,Inputs!$B$36+($BR$4-Inputs!$B$36)*($A28-1)/(Inputs!$B$38-1)))</f>
        <v>0.95</v>
      </c>
      <c r="BP28" s="49">
        <f>ROUNDDOWN(INT(Inputs!$B$7)*BO28+0.000000001,0)</f>
        <v>190</v>
      </c>
      <c r="BQ28" s="50">
        <f>BP28*Monthly!E26*$BP$4</f>
        <v>2633400</v>
      </c>
      <c r="BR28" s="50">
        <f>BQ28-(Monthly!S26-Monthly!R26)-BP28*Monthly!Q26</f>
        <v>1210650</v>
      </c>
      <c r="BS28" s="50">
        <f>BQ28*MAX(0,1-(MIN(MAX(Inputs!$B$33,0),60)/30))+BQ27*MAX(0,1-ABS((MIN(MAX(Inputs!$B$33,0),60)/30)-1))+BQ26*MAX(0,(MIN(MAX(Inputs!$B$33,0),60)/30)-1)</f>
        <v>2633400</v>
      </c>
      <c r="BT28" s="50">
        <f>BT27+BS28-(Monthly!S26-Monthly!R26)-BP28*Monthly!Q26-Monthly!X26-Monthly!Y26</f>
        <v>-8071350</v>
      </c>
      <c r="BU28" s="47" t="str">
        <f t="shared" si="8"/>
        <v/>
      </c>
    </row>
    <row r="29" spans="1:73" x14ac:dyDescent="0.2">
      <c r="A29" s="56">
        <f>Monthly!A27</f>
        <v>22</v>
      </c>
      <c r="B29" s="56">
        <f>Monthly!B27</f>
        <v>2</v>
      </c>
      <c r="C29" s="48">
        <f>IF($A29=0,0,IF(OR(Inputs!$B$38&lt;=1,$A29&gt;=Inputs!$B$38),$F$4,Inputs!$B$36+($F$4-Inputs!$B$36)*($A29-1)/(Inputs!$B$38-1)))</f>
        <v>0.75</v>
      </c>
      <c r="D29" s="49">
        <f>ROUNDDOWN(INT(Inputs!$B$7)*C29+0.000000001,0)</f>
        <v>150</v>
      </c>
      <c r="E29" s="50">
        <f>D29*Monthly!E27*$D$4</f>
        <v>1701000</v>
      </c>
      <c r="F29" s="50">
        <f>E29-(Monthly!S27-Monthly!R27)-D29*Monthly!Q27</f>
        <v>341250</v>
      </c>
      <c r="G29" s="50">
        <f>E29*MAX(0,1-(MIN(MAX(Inputs!$B$33,0),60)/30))+E28*MAX(0,1-ABS((MIN(MAX(Inputs!$B$33,0),60)/30)-1))+E27*MAX(0,(MIN(MAX(Inputs!$B$33,0),60)/30)-1)</f>
        <v>1701000</v>
      </c>
      <c r="H29" s="50">
        <f>H28+G29-(Monthly!S27-Monthly!R27)-D29*Monthly!Q27-Monthly!X27-Monthly!Y27</f>
        <v>-20764500</v>
      </c>
      <c r="I29" s="47" t="str">
        <f t="shared" si="0"/>
        <v/>
      </c>
      <c r="K29" s="48">
        <f>IF($A29=0,0,IF(OR(Inputs!$B$38&lt;=1,$A29&gt;=Inputs!$B$38),$N$4,Inputs!$B$36+($N$4-Inputs!$B$36)*($A29-1)/(Inputs!$B$38-1)))</f>
        <v>0.75</v>
      </c>
      <c r="L29" s="49">
        <f>ROUNDDOWN(INT(Inputs!$B$7)*K29+0.000000001,0)</f>
        <v>150</v>
      </c>
      <c r="M29" s="50">
        <f>L29*Monthly!E27*$L$4</f>
        <v>1890000</v>
      </c>
      <c r="N29" s="50">
        <f>M29-(Monthly!S27-Monthly!R27)-L29*Monthly!Q27</f>
        <v>530250</v>
      </c>
      <c r="O29" s="50">
        <f>M29*MAX(0,1-(MIN(MAX(Inputs!$B$33,0),60)/30))+M28*MAX(0,1-ABS((MIN(MAX(Inputs!$B$33,0),60)/30)-1))+M27*MAX(0,(MIN(MAX(Inputs!$B$33,0),60)/30)-1)</f>
        <v>1890000</v>
      </c>
      <c r="P29" s="50">
        <f>P28+O29-(Monthly!S27-Monthly!R27)-L29*Monthly!Q27-Monthly!X27-Monthly!Y27</f>
        <v>-17535000</v>
      </c>
      <c r="Q29" s="47" t="str">
        <f t="shared" si="1"/>
        <v/>
      </c>
      <c r="S29" s="48">
        <f>IF($A29=0,0,IF(OR(Inputs!$B$38&lt;=1,$A29&gt;=Inputs!$B$38),$V$4,Inputs!$B$36+($V$4-Inputs!$B$36)*($A29-1)/(Inputs!$B$38-1)))</f>
        <v>0.75</v>
      </c>
      <c r="T29" s="49">
        <f>ROUNDDOWN(INT(Inputs!$B$7)*S29+0.000000001,0)</f>
        <v>150</v>
      </c>
      <c r="U29" s="50">
        <f>T29*Monthly!E27*$T$4</f>
        <v>2079000.0000000002</v>
      </c>
      <c r="V29" s="50">
        <f>U29-(Monthly!S27-Monthly!R27)-T29*Monthly!Q27</f>
        <v>719250.00000000023</v>
      </c>
      <c r="W29" s="50">
        <f>U29*MAX(0,1-(MIN(MAX(Inputs!$B$33,0),60)/30))+U28*MAX(0,1-ABS((MIN(MAX(Inputs!$B$33,0),60)/30)-1))+U27*MAX(0,(MIN(MAX(Inputs!$B$33,0),60)/30)-1)</f>
        <v>2079000.0000000002</v>
      </c>
      <c r="X29" s="50">
        <f>X28+W29-(Monthly!S27-Monthly!R27)-T29*Monthly!Q27-Monthly!X27-Monthly!Y27</f>
        <v>-14305500</v>
      </c>
      <c r="Y29" s="47" t="str">
        <f t="shared" si="2"/>
        <v/>
      </c>
      <c r="AA29" s="48">
        <f>IF($A29=0,0,IF(OR(Inputs!$B$38&lt;=1,$A29&gt;=Inputs!$B$38),$AD$4,Inputs!$B$36+($AD$4-Inputs!$B$36)*($A29-1)/(Inputs!$B$38-1)))</f>
        <v>0.85</v>
      </c>
      <c r="AB29" s="49">
        <f>ROUNDDOWN(INT(Inputs!$B$7)*AA29+0.000000001,0)</f>
        <v>170</v>
      </c>
      <c r="AC29" s="50">
        <f>AB29*Monthly!E27*$AB$4</f>
        <v>1927800</v>
      </c>
      <c r="AD29" s="50">
        <f>AC29-(Monthly!S27-Monthly!R27)-AB29*Monthly!Q27</f>
        <v>536550</v>
      </c>
      <c r="AE29" s="50">
        <f>AC29*MAX(0,1-(MIN(MAX(Inputs!$B$33,0),60)/30))+AC28*MAX(0,1-ABS((MIN(MAX(Inputs!$B$33,0),60)/30)-1))+AC27*MAX(0,(MIN(MAX(Inputs!$B$33,0),60)/30)-1)</f>
        <v>1927800</v>
      </c>
      <c r="AF29" s="50">
        <f>AF28+AE29-(Monthly!S27-Monthly!R27)-AB29*Monthly!Q27-Monthly!X27-Monthly!Y27</f>
        <v>-17808900</v>
      </c>
      <c r="AG29" s="47" t="str">
        <f t="shared" si="3"/>
        <v/>
      </c>
      <c r="AI29" s="48">
        <f>IF($A29=0,0,IF(OR(Inputs!$B$38&lt;=1,$A29&gt;=Inputs!$B$38),$AL$4,Inputs!$B$36+($AL$4-Inputs!$B$36)*($A29-1)/(Inputs!$B$38-1)))</f>
        <v>0.85</v>
      </c>
      <c r="AJ29" s="49">
        <f>ROUNDDOWN(INT(Inputs!$B$7)*AI29+0.000000001,0)</f>
        <v>170</v>
      </c>
      <c r="AK29" s="50">
        <f>AJ29*Monthly!E27*$AJ$4</f>
        <v>2142000</v>
      </c>
      <c r="AL29" s="50">
        <f>AK29-(Monthly!S27-Monthly!R27)-AJ29*Monthly!Q27</f>
        <v>750750</v>
      </c>
      <c r="AM29" s="50">
        <f>AK29*MAX(0,1-(MIN(MAX(Inputs!$B$33,0),60)/30))+AK28*MAX(0,1-ABS((MIN(MAX(Inputs!$B$33,0),60)/30)-1))+AK27*MAX(0,(MIN(MAX(Inputs!$B$33,0),60)/30)-1)</f>
        <v>2142000</v>
      </c>
      <c r="AN29" s="50">
        <f>AN28+AM29-(Monthly!S27-Monthly!R27)-AJ29*Monthly!Q27-Monthly!X27-Monthly!Y27</f>
        <v>-14196000</v>
      </c>
      <c r="AO29" s="47" t="str">
        <f t="shared" si="4"/>
        <v/>
      </c>
      <c r="AQ29" s="48">
        <f>IF($A29=0,0,IF(OR(Inputs!$B$38&lt;=1,$A29&gt;=Inputs!$B$38),$AT$4,Inputs!$B$36+($AT$4-Inputs!$B$36)*($A29-1)/(Inputs!$B$38-1)))</f>
        <v>0.85</v>
      </c>
      <c r="AR29" s="49">
        <f>ROUNDDOWN(INT(Inputs!$B$7)*AQ29+0.000000001,0)</f>
        <v>170</v>
      </c>
      <c r="AS29" s="50">
        <f>AR29*Monthly!E27*$AR$4</f>
        <v>2356200</v>
      </c>
      <c r="AT29" s="50">
        <f>AS29-(Monthly!S27-Monthly!R27)-AR29*Monthly!Q27</f>
        <v>964950</v>
      </c>
      <c r="AU29" s="50">
        <f>AS29*MAX(0,1-(MIN(MAX(Inputs!$B$33,0),60)/30))+AS28*MAX(0,1-ABS((MIN(MAX(Inputs!$B$33,0),60)/30)-1))+AS27*MAX(0,(MIN(MAX(Inputs!$B$33,0),60)/30)-1)</f>
        <v>2356200</v>
      </c>
      <c r="AV29" s="50">
        <f>AV28+AU29-(Monthly!S27-Monthly!R27)-AR29*Monthly!Q27-Monthly!X27-Monthly!Y27</f>
        <v>-10583100</v>
      </c>
      <c r="AW29" s="47" t="str">
        <f t="shared" si="5"/>
        <v/>
      </c>
      <c r="AY29" s="48">
        <f>IF($A29=0,0,IF(OR(Inputs!$B$38&lt;=1,$A29&gt;=Inputs!$B$38),$BB$4,Inputs!$B$36+($BB$4-Inputs!$B$36)*($A29-1)/(Inputs!$B$38-1)))</f>
        <v>0.95</v>
      </c>
      <c r="AZ29" s="49">
        <f>ROUNDDOWN(INT(Inputs!$B$7)*AY29+0.000000001,0)</f>
        <v>190</v>
      </c>
      <c r="BA29" s="50">
        <f>AZ29*Monthly!E27*$AZ$4</f>
        <v>2154600</v>
      </c>
      <c r="BB29" s="50">
        <f>BA29-(Monthly!S27-Monthly!R27)-AZ29*Monthly!Q27</f>
        <v>731850</v>
      </c>
      <c r="BC29" s="50">
        <f>BA29*MAX(0,1-(MIN(MAX(Inputs!$B$33,0),60)/30))+BA28*MAX(0,1-ABS((MIN(MAX(Inputs!$B$33,0),60)/30)-1))+BA27*MAX(0,(MIN(MAX(Inputs!$B$33,0),60)/30)-1)</f>
        <v>2154600</v>
      </c>
      <c r="BD29" s="50">
        <f>BD28+BC29-(Monthly!S27-Monthly!R27)-AZ29*Monthly!Q27-Monthly!X27-Monthly!Y27</f>
        <v>-14853300</v>
      </c>
      <c r="BE29" s="47" t="str">
        <f t="shared" si="6"/>
        <v/>
      </c>
      <c r="BG29" s="48">
        <f>IF($A29=0,0,IF(OR(Inputs!$B$38&lt;=1,$A29&gt;=Inputs!$B$38),$BJ$4,Inputs!$B$36+($BJ$4-Inputs!$B$36)*($A29-1)/(Inputs!$B$38-1)))</f>
        <v>0.95</v>
      </c>
      <c r="BH29" s="49">
        <f>ROUNDDOWN(INT(Inputs!$B$7)*BG29+0.000000001,0)</f>
        <v>190</v>
      </c>
      <c r="BI29" s="50">
        <f>BH29*Monthly!E27*$BH$4</f>
        <v>2394000</v>
      </c>
      <c r="BJ29" s="50">
        <f>BI29-(Monthly!S27-Monthly!R27)-BH29*Monthly!Q27</f>
        <v>971250</v>
      </c>
      <c r="BK29" s="50">
        <f>BI29*MAX(0,1-(MIN(MAX(Inputs!$B$33,0),60)/30))+BI28*MAX(0,1-ABS((MIN(MAX(Inputs!$B$33,0),60)/30)-1))+BI27*MAX(0,(MIN(MAX(Inputs!$B$33,0),60)/30)-1)</f>
        <v>2394000</v>
      </c>
      <c r="BL29" s="50">
        <f>BL28+BK29-(Monthly!S27-Monthly!R27)-BH29*Monthly!Q27-Monthly!X27-Monthly!Y27</f>
        <v>-10857000</v>
      </c>
      <c r="BM29" s="47" t="str">
        <f t="shared" si="7"/>
        <v/>
      </c>
      <c r="BO29" s="48">
        <f>IF($A29=0,0,IF(OR(Inputs!$B$38&lt;=1,$A29&gt;=Inputs!$B$38),$BR$4,Inputs!$B$36+($BR$4-Inputs!$B$36)*($A29-1)/(Inputs!$B$38-1)))</f>
        <v>0.95</v>
      </c>
      <c r="BP29" s="49">
        <f>ROUNDDOWN(INT(Inputs!$B$7)*BO29+0.000000001,0)</f>
        <v>190</v>
      </c>
      <c r="BQ29" s="50">
        <f>BP29*Monthly!E27*$BP$4</f>
        <v>2633400</v>
      </c>
      <c r="BR29" s="50">
        <f>BQ29-(Monthly!S27-Monthly!R27)-BP29*Monthly!Q27</f>
        <v>1210650</v>
      </c>
      <c r="BS29" s="50">
        <f>BQ29*MAX(0,1-(MIN(MAX(Inputs!$B$33,0),60)/30))+BQ28*MAX(0,1-ABS((MIN(MAX(Inputs!$B$33,0),60)/30)-1))+BQ27*MAX(0,(MIN(MAX(Inputs!$B$33,0),60)/30)-1)</f>
        <v>2633400</v>
      </c>
      <c r="BT29" s="50">
        <f>BT28+BS29-(Monthly!S27-Monthly!R27)-BP29*Monthly!Q27-Monthly!X27-Monthly!Y27</f>
        <v>-6860700</v>
      </c>
      <c r="BU29" s="47" t="str">
        <f t="shared" si="8"/>
        <v/>
      </c>
    </row>
    <row r="30" spans="1:73" x14ac:dyDescent="0.2">
      <c r="A30" s="56">
        <f>Monthly!A28</f>
        <v>23</v>
      </c>
      <c r="B30" s="56">
        <f>Monthly!B28</f>
        <v>2</v>
      </c>
      <c r="C30" s="48">
        <f>IF($A30=0,0,IF(OR(Inputs!$B$38&lt;=1,$A30&gt;=Inputs!$B$38),$F$4,Inputs!$B$36+($F$4-Inputs!$B$36)*($A30-1)/(Inputs!$B$38-1)))</f>
        <v>0.75</v>
      </c>
      <c r="D30" s="49">
        <f>ROUNDDOWN(INT(Inputs!$B$7)*C30+0.000000001,0)</f>
        <v>150</v>
      </c>
      <c r="E30" s="50">
        <f>D30*Monthly!E28*$D$4</f>
        <v>1701000</v>
      </c>
      <c r="F30" s="50">
        <f>E30-(Monthly!S28-Monthly!R28)-D30*Monthly!Q28</f>
        <v>341250</v>
      </c>
      <c r="G30" s="50">
        <f>E30*MAX(0,1-(MIN(MAX(Inputs!$B$33,0),60)/30))+E29*MAX(0,1-ABS((MIN(MAX(Inputs!$B$33,0),60)/30)-1))+E28*MAX(0,(MIN(MAX(Inputs!$B$33,0),60)/30)-1)</f>
        <v>1701000</v>
      </c>
      <c r="H30" s="50">
        <f>H29+G30-(Monthly!S28-Monthly!R28)-D30*Monthly!Q28-Monthly!X28-Monthly!Y28</f>
        <v>-20423250</v>
      </c>
      <c r="I30" s="47" t="str">
        <f t="shared" si="0"/>
        <v/>
      </c>
      <c r="K30" s="48">
        <f>IF($A30=0,0,IF(OR(Inputs!$B$38&lt;=1,$A30&gt;=Inputs!$B$38),$N$4,Inputs!$B$36+($N$4-Inputs!$B$36)*($A30-1)/(Inputs!$B$38-1)))</f>
        <v>0.75</v>
      </c>
      <c r="L30" s="49">
        <f>ROUNDDOWN(INT(Inputs!$B$7)*K30+0.000000001,0)</f>
        <v>150</v>
      </c>
      <c r="M30" s="50">
        <f>L30*Monthly!E28*$L$4</f>
        <v>1890000</v>
      </c>
      <c r="N30" s="50">
        <f>M30-(Monthly!S28-Monthly!R28)-L30*Monthly!Q28</f>
        <v>530250</v>
      </c>
      <c r="O30" s="50">
        <f>M30*MAX(0,1-(MIN(MAX(Inputs!$B$33,0),60)/30))+M29*MAX(0,1-ABS((MIN(MAX(Inputs!$B$33,0),60)/30)-1))+M28*MAX(0,(MIN(MAX(Inputs!$B$33,0),60)/30)-1)</f>
        <v>1890000</v>
      </c>
      <c r="P30" s="50">
        <f>P29+O30-(Monthly!S28-Monthly!R28)-L30*Monthly!Q28-Monthly!X28-Monthly!Y28</f>
        <v>-17004750</v>
      </c>
      <c r="Q30" s="47" t="str">
        <f t="shared" si="1"/>
        <v/>
      </c>
      <c r="S30" s="48">
        <f>IF($A30=0,0,IF(OR(Inputs!$B$38&lt;=1,$A30&gt;=Inputs!$B$38),$V$4,Inputs!$B$36+($V$4-Inputs!$B$36)*($A30-1)/(Inputs!$B$38-1)))</f>
        <v>0.75</v>
      </c>
      <c r="T30" s="49">
        <f>ROUNDDOWN(INT(Inputs!$B$7)*S30+0.000000001,0)</f>
        <v>150</v>
      </c>
      <c r="U30" s="50">
        <f>T30*Monthly!E28*$T$4</f>
        <v>2079000.0000000002</v>
      </c>
      <c r="V30" s="50">
        <f>U30-(Monthly!S28-Monthly!R28)-T30*Monthly!Q28</f>
        <v>719250.00000000023</v>
      </c>
      <c r="W30" s="50">
        <f>U30*MAX(0,1-(MIN(MAX(Inputs!$B$33,0),60)/30))+U29*MAX(0,1-ABS((MIN(MAX(Inputs!$B$33,0),60)/30)-1))+U28*MAX(0,(MIN(MAX(Inputs!$B$33,0),60)/30)-1)</f>
        <v>2079000.0000000002</v>
      </c>
      <c r="X30" s="50">
        <f>X29+W30-(Monthly!S28-Monthly!R28)-T30*Monthly!Q28-Monthly!X28-Monthly!Y28</f>
        <v>-13586250</v>
      </c>
      <c r="Y30" s="47" t="str">
        <f t="shared" si="2"/>
        <v/>
      </c>
      <c r="AA30" s="48">
        <f>IF($A30=0,0,IF(OR(Inputs!$B$38&lt;=1,$A30&gt;=Inputs!$B$38),$AD$4,Inputs!$B$36+($AD$4-Inputs!$B$36)*($A30-1)/(Inputs!$B$38-1)))</f>
        <v>0.85</v>
      </c>
      <c r="AB30" s="49">
        <f>ROUNDDOWN(INT(Inputs!$B$7)*AA30+0.000000001,0)</f>
        <v>170</v>
      </c>
      <c r="AC30" s="50">
        <f>AB30*Monthly!E28*$AB$4</f>
        <v>1927800</v>
      </c>
      <c r="AD30" s="50">
        <f>AC30-(Monthly!S28-Monthly!R28)-AB30*Monthly!Q28</f>
        <v>536550</v>
      </c>
      <c r="AE30" s="50">
        <f>AC30*MAX(0,1-(MIN(MAX(Inputs!$B$33,0),60)/30))+AC29*MAX(0,1-ABS((MIN(MAX(Inputs!$B$33,0),60)/30)-1))+AC28*MAX(0,(MIN(MAX(Inputs!$B$33,0),60)/30)-1)</f>
        <v>1927800</v>
      </c>
      <c r="AF30" s="50">
        <f>AF29+AE30-(Monthly!S28-Monthly!R28)-AB30*Monthly!Q28-Monthly!X28-Monthly!Y28</f>
        <v>-17272350</v>
      </c>
      <c r="AG30" s="47" t="str">
        <f t="shared" si="3"/>
        <v/>
      </c>
      <c r="AI30" s="48">
        <f>IF($A30=0,0,IF(OR(Inputs!$B$38&lt;=1,$A30&gt;=Inputs!$B$38),$AL$4,Inputs!$B$36+($AL$4-Inputs!$B$36)*($A30-1)/(Inputs!$B$38-1)))</f>
        <v>0.85</v>
      </c>
      <c r="AJ30" s="49">
        <f>ROUNDDOWN(INT(Inputs!$B$7)*AI30+0.000000001,0)</f>
        <v>170</v>
      </c>
      <c r="AK30" s="50">
        <f>AJ30*Monthly!E28*$AJ$4</f>
        <v>2142000</v>
      </c>
      <c r="AL30" s="50">
        <f>AK30-(Monthly!S28-Monthly!R28)-AJ30*Monthly!Q28</f>
        <v>750750</v>
      </c>
      <c r="AM30" s="50">
        <f>AK30*MAX(0,1-(MIN(MAX(Inputs!$B$33,0),60)/30))+AK29*MAX(0,1-ABS((MIN(MAX(Inputs!$B$33,0),60)/30)-1))+AK28*MAX(0,(MIN(MAX(Inputs!$B$33,0),60)/30)-1)</f>
        <v>2142000</v>
      </c>
      <c r="AN30" s="50">
        <f>AN29+AM30-(Monthly!S28-Monthly!R28)-AJ30*Monthly!Q28-Monthly!X28-Monthly!Y28</f>
        <v>-13445250</v>
      </c>
      <c r="AO30" s="47" t="str">
        <f t="shared" si="4"/>
        <v/>
      </c>
      <c r="AQ30" s="48">
        <f>IF($A30=0,0,IF(OR(Inputs!$B$38&lt;=1,$A30&gt;=Inputs!$B$38),$AT$4,Inputs!$B$36+($AT$4-Inputs!$B$36)*($A30-1)/(Inputs!$B$38-1)))</f>
        <v>0.85</v>
      </c>
      <c r="AR30" s="49">
        <f>ROUNDDOWN(INT(Inputs!$B$7)*AQ30+0.000000001,0)</f>
        <v>170</v>
      </c>
      <c r="AS30" s="50">
        <f>AR30*Monthly!E28*$AR$4</f>
        <v>2356200</v>
      </c>
      <c r="AT30" s="50">
        <f>AS30-(Monthly!S28-Monthly!R28)-AR30*Monthly!Q28</f>
        <v>964950</v>
      </c>
      <c r="AU30" s="50">
        <f>AS30*MAX(0,1-(MIN(MAX(Inputs!$B$33,0),60)/30))+AS29*MAX(0,1-ABS((MIN(MAX(Inputs!$B$33,0),60)/30)-1))+AS28*MAX(0,(MIN(MAX(Inputs!$B$33,0),60)/30)-1)</f>
        <v>2356200</v>
      </c>
      <c r="AV30" s="50">
        <f>AV29+AU30-(Monthly!S28-Monthly!R28)-AR30*Monthly!Q28-Monthly!X28-Monthly!Y28</f>
        <v>-9618150</v>
      </c>
      <c r="AW30" s="47" t="str">
        <f t="shared" si="5"/>
        <v/>
      </c>
      <c r="AY30" s="48">
        <f>IF($A30=0,0,IF(OR(Inputs!$B$38&lt;=1,$A30&gt;=Inputs!$B$38),$BB$4,Inputs!$B$36+($BB$4-Inputs!$B$36)*($A30-1)/(Inputs!$B$38-1)))</f>
        <v>0.95</v>
      </c>
      <c r="AZ30" s="49">
        <f>ROUNDDOWN(INT(Inputs!$B$7)*AY30+0.000000001,0)</f>
        <v>190</v>
      </c>
      <c r="BA30" s="50">
        <f>AZ30*Monthly!E28*$AZ$4</f>
        <v>2154600</v>
      </c>
      <c r="BB30" s="50">
        <f>BA30-(Monthly!S28-Monthly!R28)-AZ30*Monthly!Q28</f>
        <v>731850</v>
      </c>
      <c r="BC30" s="50">
        <f>BA30*MAX(0,1-(MIN(MAX(Inputs!$B$33,0),60)/30))+BA29*MAX(0,1-ABS((MIN(MAX(Inputs!$B$33,0),60)/30)-1))+BA28*MAX(0,(MIN(MAX(Inputs!$B$33,0),60)/30)-1)</f>
        <v>2154600</v>
      </c>
      <c r="BD30" s="50">
        <f>BD29+BC30-(Monthly!S28-Monthly!R28)-AZ30*Monthly!Q28-Monthly!X28-Monthly!Y28</f>
        <v>-14121450</v>
      </c>
      <c r="BE30" s="47" t="str">
        <f t="shared" si="6"/>
        <v/>
      </c>
      <c r="BG30" s="48">
        <f>IF($A30=0,0,IF(OR(Inputs!$B$38&lt;=1,$A30&gt;=Inputs!$B$38),$BJ$4,Inputs!$B$36+($BJ$4-Inputs!$B$36)*($A30-1)/(Inputs!$B$38-1)))</f>
        <v>0.95</v>
      </c>
      <c r="BH30" s="49">
        <f>ROUNDDOWN(INT(Inputs!$B$7)*BG30+0.000000001,0)</f>
        <v>190</v>
      </c>
      <c r="BI30" s="50">
        <f>BH30*Monthly!E28*$BH$4</f>
        <v>2394000</v>
      </c>
      <c r="BJ30" s="50">
        <f>BI30-(Monthly!S28-Monthly!R28)-BH30*Monthly!Q28</f>
        <v>971250</v>
      </c>
      <c r="BK30" s="50">
        <f>BI30*MAX(0,1-(MIN(MAX(Inputs!$B$33,0),60)/30))+BI29*MAX(0,1-ABS((MIN(MAX(Inputs!$B$33,0),60)/30)-1))+BI28*MAX(0,(MIN(MAX(Inputs!$B$33,0),60)/30)-1)</f>
        <v>2394000</v>
      </c>
      <c r="BL30" s="50">
        <f>BL29+BK30-(Monthly!S28-Monthly!R28)-BH30*Monthly!Q28-Monthly!X28-Monthly!Y28</f>
        <v>-9885750</v>
      </c>
      <c r="BM30" s="47" t="str">
        <f t="shared" si="7"/>
        <v/>
      </c>
      <c r="BO30" s="48">
        <f>IF($A30=0,0,IF(OR(Inputs!$B$38&lt;=1,$A30&gt;=Inputs!$B$38),$BR$4,Inputs!$B$36+($BR$4-Inputs!$B$36)*($A30-1)/(Inputs!$B$38-1)))</f>
        <v>0.95</v>
      </c>
      <c r="BP30" s="49">
        <f>ROUNDDOWN(INT(Inputs!$B$7)*BO30+0.000000001,0)</f>
        <v>190</v>
      </c>
      <c r="BQ30" s="50">
        <f>BP30*Monthly!E28*$BP$4</f>
        <v>2633400</v>
      </c>
      <c r="BR30" s="50">
        <f>BQ30-(Monthly!S28-Monthly!R28)-BP30*Monthly!Q28</f>
        <v>1210650</v>
      </c>
      <c r="BS30" s="50">
        <f>BQ30*MAX(0,1-(MIN(MAX(Inputs!$B$33,0),60)/30))+BQ29*MAX(0,1-ABS((MIN(MAX(Inputs!$B$33,0),60)/30)-1))+BQ28*MAX(0,(MIN(MAX(Inputs!$B$33,0),60)/30)-1)</f>
        <v>2633400</v>
      </c>
      <c r="BT30" s="50">
        <f>BT29+BS30-(Monthly!S28-Monthly!R28)-BP30*Monthly!Q28-Monthly!X28-Monthly!Y28</f>
        <v>-5650050</v>
      </c>
      <c r="BU30" s="47" t="str">
        <f t="shared" si="8"/>
        <v/>
      </c>
    </row>
    <row r="31" spans="1:73" x14ac:dyDescent="0.2">
      <c r="A31" s="56">
        <f>Monthly!A29</f>
        <v>24</v>
      </c>
      <c r="B31" s="56">
        <f>Monthly!B29</f>
        <v>2</v>
      </c>
      <c r="C31" s="48">
        <f>IF($A31=0,0,IF(OR(Inputs!$B$38&lt;=1,$A31&gt;=Inputs!$B$38),$F$4,Inputs!$B$36+($F$4-Inputs!$B$36)*($A31-1)/(Inputs!$B$38-1)))</f>
        <v>0.75</v>
      </c>
      <c r="D31" s="49">
        <f>ROUNDDOWN(INT(Inputs!$B$7)*C31+0.000000001,0)</f>
        <v>150</v>
      </c>
      <c r="E31" s="50">
        <f>D31*Monthly!E29*$D$4</f>
        <v>1701000</v>
      </c>
      <c r="F31" s="50">
        <f>E31-(Monthly!S29-Monthly!R29)-D31*Monthly!Q29</f>
        <v>341250</v>
      </c>
      <c r="G31" s="50">
        <f>E31*MAX(0,1-(MIN(MAX(Inputs!$B$33,0),60)/30))+E30*MAX(0,1-ABS((MIN(MAX(Inputs!$B$33,0),60)/30)-1))+E29*MAX(0,(MIN(MAX(Inputs!$B$33,0),60)/30)-1)</f>
        <v>1701000</v>
      </c>
      <c r="H31" s="50">
        <f>H30+G31-(Monthly!S29-Monthly!R29)-D31*Monthly!Q29-Monthly!X29-Monthly!Y29</f>
        <v>-20082000</v>
      </c>
      <c r="I31" s="47" t="str">
        <f t="shared" si="0"/>
        <v/>
      </c>
      <c r="K31" s="48">
        <f>IF($A31=0,0,IF(OR(Inputs!$B$38&lt;=1,$A31&gt;=Inputs!$B$38),$N$4,Inputs!$B$36+($N$4-Inputs!$B$36)*($A31-1)/(Inputs!$B$38-1)))</f>
        <v>0.75</v>
      </c>
      <c r="L31" s="49">
        <f>ROUNDDOWN(INT(Inputs!$B$7)*K31+0.000000001,0)</f>
        <v>150</v>
      </c>
      <c r="M31" s="50">
        <f>L31*Monthly!E29*$L$4</f>
        <v>1890000</v>
      </c>
      <c r="N31" s="50">
        <f>M31-(Monthly!S29-Monthly!R29)-L31*Monthly!Q29</f>
        <v>530250</v>
      </c>
      <c r="O31" s="50">
        <f>M31*MAX(0,1-(MIN(MAX(Inputs!$B$33,0),60)/30))+M30*MAX(0,1-ABS((MIN(MAX(Inputs!$B$33,0),60)/30)-1))+M29*MAX(0,(MIN(MAX(Inputs!$B$33,0),60)/30)-1)</f>
        <v>1890000</v>
      </c>
      <c r="P31" s="50">
        <f>P30+O31-(Monthly!S29-Monthly!R29)-L31*Monthly!Q29-Monthly!X29-Monthly!Y29</f>
        <v>-16474500</v>
      </c>
      <c r="Q31" s="47" t="str">
        <f t="shared" si="1"/>
        <v/>
      </c>
      <c r="S31" s="48">
        <f>IF($A31=0,0,IF(OR(Inputs!$B$38&lt;=1,$A31&gt;=Inputs!$B$38),$V$4,Inputs!$B$36+($V$4-Inputs!$B$36)*($A31-1)/(Inputs!$B$38-1)))</f>
        <v>0.75</v>
      </c>
      <c r="T31" s="49">
        <f>ROUNDDOWN(INT(Inputs!$B$7)*S31+0.000000001,0)</f>
        <v>150</v>
      </c>
      <c r="U31" s="50">
        <f>T31*Monthly!E29*$T$4</f>
        <v>2079000.0000000002</v>
      </c>
      <c r="V31" s="50">
        <f>U31-(Monthly!S29-Monthly!R29)-T31*Monthly!Q29</f>
        <v>719250.00000000023</v>
      </c>
      <c r="W31" s="50">
        <f>U31*MAX(0,1-(MIN(MAX(Inputs!$B$33,0),60)/30))+U30*MAX(0,1-ABS((MIN(MAX(Inputs!$B$33,0),60)/30)-1))+U29*MAX(0,(MIN(MAX(Inputs!$B$33,0),60)/30)-1)</f>
        <v>2079000.0000000002</v>
      </c>
      <c r="X31" s="50">
        <f>X30+W31-(Monthly!S29-Monthly!R29)-T31*Monthly!Q29-Monthly!X29-Monthly!Y29</f>
        <v>-12867000</v>
      </c>
      <c r="Y31" s="47" t="str">
        <f t="shared" si="2"/>
        <v/>
      </c>
      <c r="AA31" s="48">
        <f>IF($A31=0,0,IF(OR(Inputs!$B$38&lt;=1,$A31&gt;=Inputs!$B$38),$AD$4,Inputs!$B$36+($AD$4-Inputs!$B$36)*($A31-1)/(Inputs!$B$38-1)))</f>
        <v>0.85</v>
      </c>
      <c r="AB31" s="49">
        <f>ROUNDDOWN(INT(Inputs!$B$7)*AA31+0.000000001,0)</f>
        <v>170</v>
      </c>
      <c r="AC31" s="50">
        <f>AB31*Monthly!E29*$AB$4</f>
        <v>1927800</v>
      </c>
      <c r="AD31" s="50">
        <f>AC31-(Monthly!S29-Monthly!R29)-AB31*Monthly!Q29</f>
        <v>536550</v>
      </c>
      <c r="AE31" s="50">
        <f>AC31*MAX(0,1-(MIN(MAX(Inputs!$B$33,0),60)/30))+AC30*MAX(0,1-ABS((MIN(MAX(Inputs!$B$33,0),60)/30)-1))+AC29*MAX(0,(MIN(MAX(Inputs!$B$33,0),60)/30)-1)</f>
        <v>1927800</v>
      </c>
      <c r="AF31" s="50">
        <f>AF30+AE31-(Monthly!S29-Monthly!R29)-AB31*Monthly!Q29-Monthly!X29-Monthly!Y29</f>
        <v>-16735800</v>
      </c>
      <c r="AG31" s="47" t="str">
        <f t="shared" si="3"/>
        <v/>
      </c>
      <c r="AI31" s="48">
        <f>IF($A31=0,0,IF(OR(Inputs!$B$38&lt;=1,$A31&gt;=Inputs!$B$38),$AL$4,Inputs!$B$36+($AL$4-Inputs!$B$36)*($A31-1)/(Inputs!$B$38-1)))</f>
        <v>0.85</v>
      </c>
      <c r="AJ31" s="49">
        <f>ROUNDDOWN(INT(Inputs!$B$7)*AI31+0.000000001,0)</f>
        <v>170</v>
      </c>
      <c r="AK31" s="50">
        <f>AJ31*Monthly!E29*$AJ$4</f>
        <v>2142000</v>
      </c>
      <c r="AL31" s="50">
        <f>AK31-(Monthly!S29-Monthly!R29)-AJ31*Monthly!Q29</f>
        <v>750750</v>
      </c>
      <c r="AM31" s="50">
        <f>AK31*MAX(0,1-(MIN(MAX(Inputs!$B$33,0),60)/30))+AK30*MAX(0,1-ABS((MIN(MAX(Inputs!$B$33,0),60)/30)-1))+AK29*MAX(0,(MIN(MAX(Inputs!$B$33,0),60)/30)-1)</f>
        <v>2142000</v>
      </c>
      <c r="AN31" s="50">
        <f>AN30+AM31-(Monthly!S29-Monthly!R29)-AJ31*Monthly!Q29-Monthly!X29-Monthly!Y29</f>
        <v>-12694500</v>
      </c>
      <c r="AO31" s="47" t="str">
        <f t="shared" si="4"/>
        <v/>
      </c>
      <c r="AQ31" s="48">
        <f>IF($A31=0,0,IF(OR(Inputs!$B$38&lt;=1,$A31&gt;=Inputs!$B$38),$AT$4,Inputs!$B$36+($AT$4-Inputs!$B$36)*($A31-1)/(Inputs!$B$38-1)))</f>
        <v>0.85</v>
      </c>
      <c r="AR31" s="49">
        <f>ROUNDDOWN(INT(Inputs!$B$7)*AQ31+0.000000001,0)</f>
        <v>170</v>
      </c>
      <c r="AS31" s="50">
        <f>AR31*Monthly!E29*$AR$4</f>
        <v>2356200</v>
      </c>
      <c r="AT31" s="50">
        <f>AS31-(Monthly!S29-Monthly!R29)-AR31*Monthly!Q29</f>
        <v>964950</v>
      </c>
      <c r="AU31" s="50">
        <f>AS31*MAX(0,1-(MIN(MAX(Inputs!$B$33,0),60)/30))+AS30*MAX(0,1-ABS((MIN(MAX(Inputs!$B$33,0),60)/30)-1))+AS29*MAX(0,(MIN(MAX(Inputs!$B$33,0),60)/30)-1)</f>
        <v>2356200</v>
      </c>
      <c r="AV31" s="50">
        <f>AV30+AU31-(Monthly!S29-Monthly!R29)-AR31*Monthly!Q29-Monthly!X29-Monthly!Y29</f>
        <v>-8653200</v>
      </c>
      <c r="AW31" s="47" t="str">
        <f t="shared" si="5"/>
        <v/>
      </c>
      <c r="AY31" s="48">
        <f>IF($A31=0,0,IF(OR(Inputs!$B$38&lt;=1,$A31&gt;=Inputs!$B$38),$BB$4,Inputs!$B$36+($BB$4-Inputs!$B$36)*($A31-1)/(Inputs!$B$38-1)))</f>
        <v>0.95</v>
      </c>
      <c r="AZ31" s="49">
        <f>ROUNDDOWN(INT(Inputs!$B$7)*AY31+0.000000001,0)</f>
        <v>190</v>
      </c>
      <c r="BA31" s="50">
        <f>AZ31*Monthly!E29*$AZ$4</f>
        <v>2154600</v>
      </c>
      <c r="BB31" s="50">
        <f>BA31-(Monthly!S29-Monthly!R29)-AZ31*Monthly!Q29</f>
        <v>731850</v>
      </c>
      <c r="BC31" s="50">
        <f>BA31*MAX(0,1-(MIN(MAX(Inputs!$B$33,0),60)/30))+BA30*MAX(0,1-ABS((MIN(MAX(Inputs!$B$33,0),60)/30)-1))+BA29*MAX(0,(MIN(MAX(Inputs!$B$33,0),60)/30)-1)</f>
        <v>2154600</v>
      </c>
      <c r="BD31" s="50">
        <f>BD30+BC31-(Monthly!S29-Monthly!R29)-AZ31*Monthly!Q29-Monthly!X29-Monthly!Y29</f>
        <v>-13389600</v>
      </c>
      <c r="BE31" s="47" t="str">
        <f t="shared" si="6"/>
        <v/>
      </c>
      <c r="BG31" s="48">
        <f>IF($A31=0,0,IF(OR(Inputs!$B$38&lt;=1,$A31&gt;=Inputs!$B$38),$BJ$4,Inputs!$B$36+($BJ$4-Inputs!$B$36)*($A31-1)/(Inputs!$B$38-1)))</f>
        <v>0.95</v>
      </c>
      <c r="BH31" s="49">
        <f>ROUNDDOWN(INT(Inputs!$B$7)*BG31+0.000000001,0)</f>
        <v>190</v>
      </c>
      <c r="BI31" s="50">
        <f>BH31*Monthly!E29*$BH$4</f>
        <v>2394000</v>
      </c>
      <c r="BJ31" s="50">
        <f>BI31-(Monthly!S29-Monthly!R29)-BH31*Monthly!Q29</f>
        <v>971250</v>
      </c>
      <c r="BK31" s="50">
        <f>BI31*MAX(0,1-(MIN(MAX(Inputs!$B$33,0),60)/30))+BI30*MAX(0,1-ABS((MIN(MAX(Inputs!$B$33,0),60)/30)-1))+BI29*MAX(0,(MIN(MAX(Inputs!$B$33,0),60)/30)-1)</f>
        <v>2394000</v>
      </c>
      <c r="BL31" s="50">
        <f>BL30+BK31-(Monthly!S29-Monthly!R29)-BH31*Monthly!Q29-Monthly!X29-Monthly!Y29</f>
        <v>-8914500</v>
      </c>
      <c r="BM31" s="47" t="str">
        <f t="shared" si="7"/>
        <v/>
      </c>
      <c r="BO31" s="48">
        <f>IF($A31=0,0,IF(OR(Inputs!$B$38&lt;=1,$A31&gt;=Inputs!$B$38),$BR$4,Inputs!$B$36+($BR$4-Inputs!$B$36)*($A31-1)/(Inputs!$B$38-1)))</f>
        <v>0.95</v>
      </c>
      <c r="BP31" s="49">
        <f>ROUNDDOWN(INT(Inputs!$B$7)*BO31+0.000000001,0)</f>
        <v>190</v>
      </c>
      <c r="BQ31" s="50">
        <f>BP31*Monthly!E29*$BP$4</f>
        <v>2633400</v>
      </c>
      <c r="BR31" s="50">
        <f>BQ31-(Monthly!S29-Monthly!R29)-BP31*Monthly!Q29</f>
        <v>1210650</v>
      </c>
      <c r="BS31" s="50">
        <f>BQ31*MAX(0,1-(MIN(MAX(Inputs!$B$33,0),60)/30))+BQ30*MAX(0,1-ABS((MIN(MAX(Inputs!$B$33,0),60)/30)-1))+BQ29*MAX(0,(MIN(MAX(Inputs!$B$33,0),60)/30)-1)</f>
        <v>2633400</v>
      </c>
      <c r="BT31" s="50">
        <f>BT30+BS31-(Monthly!S29-Monthly!R29)-BP31*Monthly!Q29-Monthly!X29-Monthly!Y29</f>
        <v>-4439400</v>
      </c>
      <c r="BU31" s="47" t="str">
        <f t="shared" si="8"/>
        <v/>
      </c>
    </row>
    <row r="32" spans="1:73" x14ac:dyDescent="0.2">
      <c r="A32" s="56">
        <f>Monthly!A30</f>
        <v>25</v>
      </c>
      <c r="B32" s="56">
        <f>Monthly!B30</f>
        <v>3</v>
      </c>
      <c r="C32" s="48">
        <f>IF($A32=0,0,IF(OR(Inputs!$B$38&lt;=1,$A32&gt;=Inputs!$B$38),$F$4,Inputs!$B$36+($F$4-Inputs!$B$36)*($A32-1)/(Inputs!$B$38-1)))</f>
        <v>0.75</v>
      </c>
      <c r="D32" s="49">
        <f>ROUNDDOWN(INT(Inputs!$B$7)*C32+0.000000001,0)</f>
        <v>150</v>
      </c>
      <c r="E32" s="50">
        <f>D32*Monthly!E30*$D$4</f>
        <v>1786050</v>
      </c>
      <c r="F32" s="50">
        <f>E32-(Monthly!S30-Monthly!R30)-D32*Monthly!Q30</f>
        <v>358312.5</v>
      </c>
      <c r="G32" s="50">
        <f>E32*MAX(0,1-(MIN(MAX(Inputs!$B$33,0),60)/30))+E31*MAX(0,1-ABS((MIN(MAX(Inputs!$B$33,0),60)/30)-1))+E30*MAX(0,(MIN(MAX(Inputs!$B$33,0),60)/30)-1)</f>
        <v>1743525</v>
      </c>
      <c r="H32" s="50">
        <f>H31+G32-(Monthly!S30-Monthly!R30)-D32*Monthly!Q30-Monthly!X30-Monthly!Y30</f>
        <v>-19766212.5</v>
      </c>
      <c r="I32" s="47" t="str">
        <f t="shared" si="0"/>
        <v/>
      </c>
      <c r="K32" s="48">
        <f>IF($A32=0,0,IF(OR(Inputs!$B$38&lt;=1,$A32&gt;=Inputs!$B$38),$N$4,Inputs!$B$36+($N$4-Inputs!$B$36)*($A32-1)/(Inputs!$B$38-1)))</f>
        <v>0.75</v>
      </c>
      <c r="L32" s="49">
        <f>ROUNDDOWN(INT(Inputs!$B$7)*K32+0.000000001,0)</f>
        <v>150</v>
      </c>
      <c r="M32" s="50">
        <f>L32*Monthly!E30*$L$4</f>
        <v>1984500</v>
      </c>
      <c r="N32" s="50">
        <f>M32-(Monthly!S30-Monthly!R30)-L32*Monthly!Q30</f>
        <v>556762.5</v>
      </c>
      <c r="O32" s="50">
        <f>M32*MAX(0,1-(MIN(MAX(Inputs!$B$33,0),60)/30))+M31*MAX(0,1-ABS((MIN(MAX(Inputs!$B$33,0),60)/30)-1))+M30*MAX(0,(MIN(MAX(Inputs!$B$33,0),60)/30)-1)</f>
        <v>1937250</v>
      </c>
      <c r="P32" s="50">
        <f>P31+O32-(Monthly!S30-Monthly!R30)-L32*Monthly!Q30-Monthly!X30-Monthly!Y30</f>
        <v>-15964987.5</v>
      </c>
      <c r="Q32" s="47" t="str">
        <f t="shared" si="1"/>
        <v/>
      </c>
      <c r="S32" s="48">
        <f>IF($A32=0,0,IF(OR(Inputs!$B$38&lt;=1,$A32&gt;=Inputs!$B$38),$V$4,Inputs!$B$36+($V$4-Inputs!$B$36)*($A32-1)/(Inputs!$B$38-1)))</f>
        <v>0.75</v>
      </c>
      <c r="T32" s="49">
        <f>ROUNDDOWN(INT(Inputs!$B$7)*S32+0.000000001,0)</f>
        <v>150</v>
      </c>
      <c r="U32" s="50">
        <f>T32*Monthly!E30*$T$4</f>
        <v>2182950</v>
      </c>
      <c r="V32" s="50">
        <f>U32-(Monthly!S30-Monthly!R30)-T32*Monthly!Q30</f>
        <v>755212.5</v>
      </c>
      <c r="W32" s="50">
        <f>U32*MAX(0,1-(MIN(MAX(Inputs!$B$33,0),60)/30))+U31*MAX(0,1-ABS((MIN(MAX(Inputs!$B$33,0),60)/30)-1))+U30*MAX(0,(MIN(MAX(Inputs!$B$33,0),60)/30)-1)</f>
        <v>2130975</v>
      </c>
      <c r="X32" s="50">
        <f>X31+W32-(Monthly!S30-Monthly!R30)-T32*Monthly!Q30-Monthly!X30-Monthly!Y30</f>
        <v>-12163762.5</v>
      </c>
      <c r="Y32" s="47" t="str">
        <f t="shared" si="2"/>
        <v/>
      </c>
      <c r="AA32" s="48">
        <f>IF($A32=0,0,IF(OR(Inputs!$B$38&lt;=1,$A32&gt;=Inputs!$B$38),$AD$4,Inputs!$B$36+($AD$4-Inputs!$B$36)*($A32-1)/(Inputs!$B$38-1)))</f>
        <v>0.85</v>
      </c>
      <c r="AB32" s="49">
        <f>ROUNDDOWN(INT(Inputs!$B$7)*AA32+0.000000001,0)</f>
        <v>170</v>
      </c>
      <c r="AC32" s="50">
        <f>AB32*Monthly!E30*$AB$4</f>
        <v>2024190</v>
      </c>
      <c r="AD32" s="50">
        <f>AC32-(Monthly!S30-Monthly!R30)-AB32*Monthly!Q30</f>
        <v>563377.5</v>
      </c>
      <c r="AE32" s="50">
        <f>AC32*MAX(0,1-(MIN(MAX(Inputs!$B$33,0),60)/30))+AC31*MAX(0,1-ABS((MIN(MAX(Inputs!$B$33,0),60)/30)-1))+AC30*MAX(0,(MIN(MAX(Inputs!$B$33,0),60)/30)-1)</f>
        <v>1975995</v>
      </c>
      <c r="AF32" s="50">
        <f>AF31+AE32-(Monthly!S30-Monthly!R30)-AB32*Monthly!Q30-Monthly!X30-Monthly!Y30</f>
        <v>-16220617.5</v>
      </c>
      <c r="AG32" s="47" t="str">
        <f t="shared" si="3"/>
        <v/>
      </c>
      <c r="AI32" s="48">
        <f>IF($A32=0,0,IF(OR(Inputs!$B$38&lt;=1,$A32&gt;=Inputs!$B$38),$AL$4,Inputs!$B$36+($AL$4-Inputs!$B$36)*($A32-1)/(Inputs!$B$38-1)))</f>
        <v>0.85</v>
      </c>
      <c r="AJ32" s="49">
        <f>ROUNDDOWN(INT(Inputs!$B$7)*AI32+0.000000001,0)</f>
        <v>170</v>
      </c>
      <c r="AK32" s="50">
        <f>AJ32*Monthly!E30*$AJ$4</f>
        <v>2249100</v>
      </c>
      <c r="AL32" s="50">
        <f>AK32-(Monthly!S30-Monthly!R30)-AJ32*Monthly!Q30</f>
        <v>788287.5</v>
      </c>
      <c r="AM32" s="50">
        <f>AK32*MAX(0,1-(MIN(MAX(Inputs!$B$33,0),60)/30))+AK31*MAX(0,1-ABS((MIN(MAX(Inputs!$B$33,0),60)/30)-1))+AK30*MAX(0,(MIN(MAX(Inputs!$B$33,0),60)/30)-1)</f>
        <v>2195550</v>
      </c>
      <c r="AN32" s="50">
        <f>AN31+AM32-(Monthly!S30-Monthly!R30)-AJ32*Monthly!Q30-Monthly!X30-Monthly!Y30</f>
        <v>-11959762.5</v>
      </c>
      <c r="AO32" s="47" t="str">
        <f t="shared" si="4"/>
        <v/>
      </c>
      <c r="AQ32" s="48">
        <f>IF($A32=0,0,IF(OR(Inputs!$B$38&lt;=1,$A32&gt;=Inputs!$B$38),$AT$4,Inputs!$B$36+($AT$4-Inputs!$B$36)*($A32-1)/(Inputs!$B$38-1)))</f>
        <v>0.85</v>
      </c>
      <c r="AR32" s="49">
        <f>ROUNDDOWN(INT(Inputs!$B$7)*AQ32+0.000000001,0)</f>
        <v>170</v>
      </c>
      <c r="AS32" s="50">
        <f>AR32*Monthly!E30*$AR$4</f>
        <v>2474010</v>
      </c>
      <c r="AT32" s="50">
        <f>AS32-(Monthly!S30-Monthly!R30)-AR32*Monthly!Q30</f>
        <v>1013197.5</v>
      </c>
      <c r="AU32" s="50">
        <f>AS32*MAX(0,1-(MIN(MAX(Inputs!$B$33,0),60)/30))+AS31*MAX(0,1-ABS((MIN(MAX(Inputs!$B$33,0),60)/30)-1))+AS30*MAX(0,(MIN(MAX(Inputs!$B$33,0),60)/30)-1)</f>
        <v>2415105</v>
      </c>
      <c r="AV32" s="50">
        <f>AV31+AU32-(Monthly!S30-Monthly!R30)-AR32*Monthly!Q30-Monthly!X30-Monthly!Y30</f>
        <v>-7698907.5</v>
      </c>
      <c r="AW32" s="47" t="str">
        <f t="shared" si="5"/>
        <v/>
      </c>
      <c r="AY32" s="48">
        <f>IF($A32=0,0,IF(OR(Inputs!$B$38&lt;=1,$A32&gt;=Inputs!$B$38),$BB$4,Inputs!$B$36+($BB$4-Inputs!$B$36)*($A32-1)/(Inputs!$B$38-1)))</f>
        <v>0.95</v>
      </c>
      <c r="AZ32" s="49">
        <f>ROUNDDOWN(INT(Inputs!$B$7)*AY32+0.000000001,0)</f>
        <v>190</v>
      </c>
      <c r="BA32" s="50">
        <f>AZ32*Monthly!E30*$AZ$4</f>
        <v>2262330</v>
      </c>
      <c r="BB32" s="50">
        <f>BA32-(Monthly!S30-Monthly!R30)-AZ32*Monthly!Q30</f>
        <v>768442.5</v>
      </c>
      <c r="BC32" s="50">
        <f>BA32*MAX(0,1-(MIN(MAX(Inputs!$B$33,0),60)/30))+BA31*MAX(0,1-ABS((MIN(MAX(Inputs!$B$33,0),60)/30)-1))+BA30*MAX(0,(MIN(MAX(Inputs!$B$33,0),60)/30)-1)</f>
        <v>2208465</v>
      </c>
      <c r="BD32" s="50">
        <f>BD31+BC32-(Monthly!S30-Monthly!R30)-AZ32*Monthly!Q30-Monthly!X30-Monthly!Y30</f>
        <v>-12675022.5</v>
      </c>
      <c r="BE32" s="47" t="str">
        <f t="shared" si="6"/>
        <v/>
      </c>
      <c r="BG32" s="48">
        <f>IF($A32=0,0,IF(OR(Inputs!$B$38&lt;=1,$A32&gt;=Inputs!$B$38),$BJ$4,Inputs!$B$36+($BJ$4-Inputs!$B$36)*($A32-1)/(Inputs!$B$38-1)))</f>
        <v>0.95</v>
      </c>
      <c r="BH32" s="49">
        <f>ROUNDDOWN(INT(Inputs!$B$7)*BG32+0.000000001,0)</f>
        <v>190</v>
      </c>
      <c r="BI32" s="50">
        <f>BH32*Monthly!E30*$BH$4</f>
        <v>2513700</v>
      </c>
      <c r="BJ32" s="50">
        <f>BI32-(Monthly!S30-Monthly!R30)-BH32*Monthly!Q30</f>
        <v>1019812.5</v>
      </c>
      <c r="BK32" s="50">
        <f>BI32*MAX(0,1-(MIN(MAX(Inputs!$B$33,0),60)/30))+BI31*MAX(0,1-ABS((MIN(MAX(Inputs!$B$33,0),60)/30)-1))+BI30*MAX(0,(MIN(MAX(Inputs!$B$33,0),60)/30)-1)</f>
        <v>2453850</v>
      </c>
      <c r="BL32" s="50">
        <f>BL31+BK32-(Monthly!S30-Monthly!R30)-BH32*Monthly!Q30-Monthly!X30-Monthly!Y30</f>
        <v>-7954537.5</v>
      </c>
      <c r="BM32" s="47" t="str">
        <f t="shared" si="7"/>
        <v/>
      </c>
      <c r="BO32" s="48">
        <f>IF($A32=0,0,IF(OR(Inputs!$B$38&lt;=1,$A32&gt;=Inputs!$B$38),$BR$4,Inputs!$B$36+($BR$4-Inputs!$B$36)*($A32-1)/(Inputs!$B$38-1)))</f>
        <v>0.95</v>
      </c>
      <c r="BP32" s="49">
        <f>ROUNDDOWN(INT(Inputs!$B$7)*BO32+0.000000001,0)</f>
        <v>190</v>
      </c>
      <c r="BQ32" s="50">
        <f>BP32*Monthly!E30*$BP$4</f>
        <v>2765070</v>
      </c>
      <c r="BR32" s="50">
        <f>BQ32-(Monthly!S30-Monthly!R30)-BP32*Monthly!Q30</f>
        <v>1271182.5</v>
      </c>
      <c r="BS32" s="50">
        <f>BQ32*MAX(0,1-(MIN(MAX(Inputs!$B$33,0),60)/30))+BQ31*MAX(0,1-ABS((MIN(MAX(Inputs!$B$33,0),60)/30)-1))+BQ30*MAX(0,(MIN(MAX(Inputs!$B$33,0),60)/30)-1)</f>
        <v>2699235</v>
      </c>
      <c r="BT32" s="50">
        <f>BT31+BS32-(Monthly!S30-Monthly!R30)-BP32*Monthly!Q30-Monthly!X30-Monthly!Y30</f>
        <v>-3234052.5</v>
      </c>
      <c r="BU32" s="47" t="str">
        <f t="shared" si="8"/>
        <v/>
      </c>
    </row>
    <row r="33" spans="1:73" x14ac:dyDescent="0.2">
      <c r="A33" s="56">
        <f>Monthly!A31</f>
        <v>26</v>
      </c>
      <c r="B33" s="56">
        <f>Monthly!B31</f>
        <v>3</v>
      </c>
      <c r="C33" s="48">
        <f>IF($A33=0,0,IF(OR(Inputs!$B$38&lt;=1,$A33&gt;=Inputs!$B$38),$F$4,Inputs!$B$36+($F$4-Inputs!$B$36)*($A33-1)/(Inputs!$B$38-1)))</f>
        <v>0.75</v>
      </c>
      <c r="D33" s="49">
        <f>ROUNDDOWN(INT(Inputs!$B$7)*C33+0.000000001,0)</f>
        <v>150</v>
      </c>
      <c r="E33" s="50">
        <f>D33*Monthly!E31*$D$4</f>
        <v>1786050</v>
      </c>
      <c r="F33" s="50">
        <f>E33-(Monthly!S31-Monthly!R31)-D33*Monthly!Q31</f>
        <v>358312.5</v>
      </c>
      <c r="G33" s="50">
        <f>E33*MAX(0,1-(MIN(MAX(Inputs!$B$33,0),60)/30))+E32*MAX(0,1-ABS((MIN(MAX(Inputs!$B$33,0),60)/30)-1))+E31*MAX(0,(MIN(MAX(Inputs!$B$33,0),60)/30)-1)</f>
        <v>1786050</v>
      </c>
      <c r="H33" s="50">
        <f>H32+G33-(Monthly!S31-Monthly!R31)-D33*Monthly!Q31-Monthly!X31-Monthly!Y31</f>
        <v>-19407900</v>
      </c>
      <c r="I33" s="47" t="str">
        <f t="shared" si="0"/>
        <v/>
      </c>
      <c r="K33" s="48">
        <f>IF($A33=0,0,IF(OR(Inputs!$B$38&lt;=1,$A33&gt;=Inputs!$B$38),$N$4,Inputs!$B$36+($N$4-Inputs!$B$36)*($A33-1)/(Inputs!$B$38-1)))</f>
        <v>0.75</v>
      </c>
      <c r="L33" s="49">
        <f>ROUNDDOWN(INT(Inputs!$B$7)*K33+0.000000001,0)</f>
        <v>150</v>
      </c>
      <c r="M33" s="50">
        <f>L33*Monthly!E31*$L$4</f>
        <v>1984500</v>
      </c>
      <c r="N33" s="50">
        <f>M33-(Monthly!S31-Monthly!R31)-L33*Monthly!Q31</f>
        <v>556762.5</v>
      </c>
      <c r="O33" s="50">
        <f>M33*MAX(0,1-(MIN(MAX(Inputs!$B$33,0),60)/30))+M32*MAX(0,1-ABS((MIN(MAX(Inputs!$B$33,0),60)/30)-1))+M31*MAX(0,(MIN(MAX(Inputs!$B$33,0),60)/30)-1)</f>
        <v>1984500</v>
      </c>
      <c r="P33" s="50">
        <f>P32+O33-(Monthly!S31-Monthly!R31)-L33*Monthly!Q31-Monthly!X31-Monthly!Y31</f>
        <v>-15408225</v>
      </c>
      <c r="Q33" s="47" t="str">
        <f t="shared" si="1"/>
        <v/>
      </c>
      <c r="S33" s="48">
        <f>IF($A33=0,0,IF(OR(Inputs!$B$38&lt;=1,$A33&gt;=Inputs!$B$38),$V$4,Inputs!$B$36+($V$4-Inputs!$B$36)*($A33-1)/(Inputs!$B$38-1)))</f>
        <v>0.75</v>
      </c>
      <c r="T33" s="49">
        <f>ROUNDDOWN(INT(Inputs!$B$7)*S33+0.000000001,0)</f>
        <v>150</v>
      </c>
      <c r="U33" s="50">
        <f>T33*Monthly!E31*$T$4</f>
        <v>2182950</v>
      </c>
      <c r="V33" s="50">
        <f>U33-(Monthly!S31-Monthly!R31)-T33*Monthly!Q31</f>
        <v>755212.5</v>
      </c>
      <c r="W33" s="50">
        <f>U33*MAX(0,1-(MIN(MAX(Inputs!$B$33,0),60)/30))+U32*MAX(0,1-ABS((MIN(MAX(Inputs!$B$33,0),60)/30)-1))+U31*MAX(0,(MIN(MAX(Inputs!$B$33,0),60)/30)-1)</f>
        <v>2182950</v>
      </c>
      <c r="X33" s="50">
        <f>X32+W33-(Monthly!S31-Monthly!R31)-T33*Monthly!Q31-Monthly!X31-Monthly!Y31</f>
        <v>-11408550</v>
      </c>
      <c r="Y33" s="47" t="str">
        <f t="shared" si="2"/>
        <v/>
      </c>
      <c r="AA33" s="48">
        <f>IF($A33=0,0,IF(OR(Inputs!$B$38&lt;=1,$A33&gt;=Inputs!$B$38),$AD$4,Inputs!$B$36+($AD$4-Inputs!$B$36)*($A33-1)/(Inputs!$B$38-1)))</f>
        <v>0.85</v>
      </c>
      <c r="AB33" s="49">
        <f>ROUNDDOWN(INT(Inputs!$B$7)*AA33+0.000000001,0)</f>
        <v>170</v>
      </c>
      <c r="AC33" s="50">
        <f>AB33*Monthly!E31*$AB$4</f>
        <v>2024190</v>
      </c>
      <c r="AD33" s="50">
        <f>AC33-(Monthly!S31-Monthly!R31)-AB33*Monthly!Q31</f>
        <v>563377.5</v>
      </c>
      <c r="AE33" s="50">
        <f>AC33*MAX(0,1-(MIN(MAX(Inputs!$B$33,0),60)/30))+AC32*MAX(0,1-ABS((MIN(MAX(Inputs!$B$33,0),60)/30)-1))+AC31*MAX(0,(MIN(MAX(Inputs!$B$33,0),60)/30)-1)</f>
        <v>2024190</v>
      </c>
      <c r="AF33" s="50">
        <f>AF32+AE33-(Monthly!S31-Monthly!R31)-AB33*Monthly!Q31-Monthly!X31-Monthly!Y31</f>
        <v>-15657240</v>
      </c>
      <c r="AG33" s="47" t="str">
        <f t="shared" si="3"/>
        <v/>
      </c>
      <c r="AI33" s="48">
        <f>IF($A33=0,0,IF(OR(Inputs!$B$38&lt;=1,$A33&gt;=Inputs!$B$38),$AL$4,Inputs!$B$36+($AL$4-Inputs!$B$36)*($A33-1)/(Inputs!$B$38-1)))</f>
        <v>0.85</v>
      </c>
      <c r="AJ33" s="49">
        <f>ROUNDDOWN(INT(Inputs!$B$7)*AI33+0.000000001,0)</f>
        <v>170</v>
      </c>
      <c r="AK33" s="50">
        <f>AJ33*Monthly!E31*$AJ$4</f>
        <v>2249100</v>
      </c>
      <c r="AL33" s="50">
        <f>AK33-(Monthly!S31-Monthly!R31)-AJ33*Monthly!Q31</f>
        <v>788287.5</v>
      </c>
      <c r="AM33" s="50">
        <f>AK33*MAX(0,1-(MIN(MAX(Inputs!$B$33,0),60)/30))+AK32*MAX(0,1-ABS((MIN(MAX(Inputs!$B$33,0),60)/30)-1))+AK31*MAX(0,(MIN(MAX(Inputs!$B$33,0),60)/30)-1)</f>
        <v>2249100</v>
      </c>
      <c r="AN33" s="50">
        <f>AN32+AM33-(Monthly!S31-Monthly!R31)-AJ33*Monthly!Q31-Monthly!X31-Monthly!Y31</f>
        <v>-11171475</v>
      </c>
      <c r="AO33" s="47" t="str">
        <f t="shared" si="4"/>
        <v/>
      </c>
      <c r="AQ33" s="48">
        <f>IF($A33=0,0,IF(OR(Inputs!$B$38&lt;=1,$A33&gt;=Inputs!$B$38),$AT$4,Inputs!$B$36+($AT$4-Inputs!$B$36)*($A33-1)/(Inputs!$B$38-1)))</f>
        <v>0.85</v>
      </c>
      <c r="AR33" s="49">
        <f>ROUNDDOWN(INT(Inputs!$B$7)*AQ33+0.000000001,0)</f>
        <v>170</v>
      </c>
      <c r="AS33" s="50">
        <f>AR33*Monthly!E31*$AR$4</f>
        <v>2474010</v>
      </c>
      <c r="AT33" s="50">
        <f>AS33-(Monthly!S31-Monthly!R31)-AR33*Monthly!Q31</f>
        <v>1013197.5</v>
      </c>
      <c r="AU33" s="50">
        <f>AS33*MAX(0,1-(MIN(MAX(Inputs!$B$33,0),60)/30))+AS32*MAX(0,1-ABS((MIN(MAX(Inputs!$B$33,0),60)/30)-1))+AS31*MAX(0,(MIN(MAX(Inputs!$B$33,0),60)/30)-1)</f>
        <v>2474010</v>
      </c>
      <c r="AV33" s="50">
        <f>AV32+AU33-(Monthly!S31-Monthly!R31)-AR33*Monthly!Q31-Monthly!X31-Monthly!Y31</f>
        <v>-6685710</v>
      </c>
      <c r="AW33" s="47" t="str">
        <f t="shared" si="5"/>
        <v/>
      </c>
      <c r="AY33" s="48">
        <f>IF($A33=0,0,IF(OR(Inputs!$B$38&lt;=1,$A33&gt;=Inputs!$B$38),$BB$4,Inputs!$B$36+($BB$4-Inputs!$B$36)*($A33-1)/(Inputs!$B$38-1)))</f>
        <v>0.95</v>
      </c>
      <c r="AZ33" s="49">
        <f>ROUNDDOWN(INT(Inputs!$B$7)*AY33+0.000000001,0)</f>
        <v>190</v>
      </c>
      <c r="BA33" s="50">
        <f>AZ33*Monthly!E31*$AZ$4</f>
        <v>2262330</v>
      </c>
      <c r="BB33" s="50">
        <f>BA33-(Monthly!S31-Monthly!R31)-AZ33*Monthly!Q31</f>
        <v>768442.5</v>
      </c>
      <c r="BC33" s="50">
        <f>BA33*MAX(0,1-(MIN(MAX(Inputs!$B$33,0),60)/30))+BA32*MAX(0,1-ABS((MIN(MAX(Inputs!$B$33,0),60)/30)-1))+BA31*MAX(0,(MIN(MAX(Inputs!$B$33,0),60)/30)-1)</f>
        <v>2262330</v>
      </c>
      <c r="BD33" s="50">
        <f>BD32+BC33-(Monthly!S31-Monthly!R31)-AZ33*Monthly!Q31-Monthly!X31-Monthly!Y31</f>
        <v>-11906580</v>
      </c>
      <c r="BE33" s="47" t="str">
        <f t="shared" si="6"/>
        <v/>
      </c>
      <c r="BG33" s="48">
        <f>IF($A33=0,0,IF(OR(Inputs!$B$38&lt;=1,$A33&gt;=Inputs!$B$38),$BJ$4,Inputs!$B$36+($BJ$4-Inputs!$B$36)*($A33-1)/(Inputs!$B$38-1)))</f>
        <v>0.95</v>
      </c>
      <c r="BH33" s="49">
        <f>ROUNDDOWN(INT(Inputs!$B$7)*BG33+0.000000001,0)</f>
        <v>190</v>
      </c>
      <c r="BI33" s="50">
        <f>BH33*Monthly!E31*$BH$4</f>
        <v>2513700</v>
      </c>
      <c r="BJ33" s="50">
        <f>BI33-(Monthly!S31-Monthly!R31)-BH33*Monthly!Q31</f>
        <v>1019812.5</v>
      </c>
      <c r="BK33" s="50">
        <f>BI33*MAX(0,1-(MIN(MAX(Inputs!$B$33,0),60)/30))+BI32*MAX(0,1-ABS((MIN(MAX(Inputs!$B$33,0),60)/30)-1))+BI31*MAX(0,(MIN(MAX(Inputs!$B$33,0),60)/30)-1)</f>
        <v>2513700</v>
      </c>
      <c r="BL33" s="50">
        <f>BL32+BK33-(Monthly!S31-Monthly!R31)-BH33*Monthly!Q31-Monthly!X31-Monthly!Y31</f>
        <v>-6934725</v>
      </c>
      <c r="BM33" s="47" t="str">
        <f t="shared" si="7"/>
        <v/>
      </c>
      <c r="BO33" s="48">
        <f>IF($A33=0,0,IF(OR(Inputs!$B$38&lt;=1,$A33&gt;=Inputs!$B$38),$BR$4,Inputs!$B$36+($BR$4-Inputs!$B$36)*($A33-1)/(Inputs!$B$38-1)))</f>
        <v>0.95</v>
      </c>
      <c r="BP33" s="49">
        <f>ROUNDDOWN(INT(Inputs!$B$7)*BO33+0.000000001,0)</f>
        <v>190</v>
      </c>
      <c r="BQ33" s="50">
        <f>BP33*Monthly!E31*$BP$4</f>
        <v>2765070</v>
      </c>
      <c r="BR33" s="50">
        <f>BQ33-(Monthly!S31-Monthly!R31)-BP33*Monthly!Q31</f>
        <v>1271182.5</v>
      </c>
      <c r="BS33" s="50">
        <f>BQ33*MAX(0,1-(MIN(MAX(Inputs!$B$33,0),60)/30))+BQ32*MAX(0,1-ABS((MIN(MAX(Inputs!$B$33,0),60)/30)-1))+BQ31*MAX(0,(MIN(MAX(Inputs!$B$33,0),60)/30)-1)</f>
        <v>2765070</v>
      </c>
      <c r="BT33" s="50">
        <f>BT32+BS33-(Monthly!S31-Monthly!R31)-BP33*Monthly!Q31-Monthly!X31-Monthly!Y31</f>
        <v>-1962870</v>
      </c>
      <c r="BU33" s="47" t="str">
        <f t="shared" si="8"/>
        <v/>
      </c>
    </row>
    <row r="34" spans="1:73" x14ac:dyDescent="0.2">
      <c r="A34" s="56">
        <f>Monthly!A32</f>
        <v>27</v>
      </c>
      <c r="B34" s="56">
        <f>Monthly!B32</f>
        <v>3</v>
      </c>
      <c r="C34" s="48">
        <f>IF($A34=0,0,IF(OR(Inputs!$B$38&lt;=1,$A34&gt;=Inputs!$B$38),$F$4,Inputs!$B$36+($F$4-Inputs!$B$36)*($A34-1)/(Inputs!$B$38-1)))</f>
        <v>0.75</v>
      </c>
      <c r="D34" s="49">
        <f>ROUNDDOWN(INT(Inputs!$B$7)*C34+0.000000001,0)</f>
        <v>150</v>
      </c>
      <c r="E34" s="50">
        <f>D34*Monthly!E32*$D$4</f>
        <v>1786050</v>
      </c>
      <c r="F34" s="50">
        <f>E34-(Monthly!S32-Monthly!R32)-D34*Monthly!Q32</f>
        <v>358312.5</v>
      </c>
      <c r="G34" s="50">
        <f>E34*MAX(0,1-(MIN(MAX(Inputs!$B$33,0),60)/30))+E33*MAX(0,1-ABS((MIN(MAX(Inputs!$B$33,0),60)/30)-1))+E32*MAX(0,(MIN(MAX(Inputs!$B$33,0),60)/30)-1)</f>
        <v>1786050</v>
      </c>
      <c r="H34" s="50">
        <f>H33+G34-(Monthly!S32-Monthly!R32)-D34*Monthly!Q32-Monthly!X32-Monthly!Y32</f>
        <v>-19049587.5</v>
      </c>
      <c r="I34" s="47" t="str">
        <f t="shared" si="0"/>
        <v/>
      </c>
      <c r="K34" s="48">
        <f>IF($A34=0,0,IF(OR(Inputs!$B$38&lt;=1,$A34&gt;=Inputs!$B$38),$N$4,Inputs!$B$36+($N$4-Inputs!$B$36)*($A34-1)/(Inputs!$B$38-1)))</f>
        <v>0.75</v>
      </c>
      <c r="L34" s="49">
        <f>ROUNDDOWN(INT(Inputs!$B$7)*K34+0.000000001,0)</f>
        <v>150</v>
      </c>
      <c r="M34" s="50">
        <f>L34*Monthly!E32*$L$4</f>
        <v>1984500</v>
      </c>
      <c r="N34" s="50">
        <f>M34-(Monthly!S32-Monthly!R32)-L34*Monthly!Q32</f>
        <v>556762.5</v>
      </c>
      <c r="O34" s="50">
        <f>M34*MAX(0,1-(MIN(MAX(Inputs!$B$33,0),60)/30))+M33*MAX(0,1-ABS((MIN(MAX(Inputs!$B$33,0),60)/30)-1))+M32*MAX(0,(MIN(MAX(Inputs!$B$33,0),60)/30)-1)</f>
        <v>1984500</v>
      </c>
      <c r="P34" s="50">
        <f>P33+O34-(Monthly!S32-Monthly!R32)-L34*Monthly!Q32-Monthly!X32-Monthly!Y32</f>
        <v>-14851462.5</v>
      </c>
      <c r="Q34" s="47" t="str">
        <f t="shared" si="1"/>
        <v/>
      </c>
      <c r="S34" s="48">
        <f>IF($A34=0,0,IF(OR(Inputs!$B$38&lt;=1,$A34&gt;=Inputs!$B$38),$V$4,Inputs!$B$36+($V$4-Inputs!$B$36)*($A34-1)/(Inputs!$B$38-1)))</f>
        <v>0.75</v>
      </c>
      <c r="T34" s="49">
        <f>ROUNDDOWN(INT(Inputs!$B$7)*S34+0.000000001,0)</f>
        <v>150</v>
      </c>
      <c r="U34" s="50">
        <f>T34*Monthly!E32*$T$4</f>
        <v>2182950</v>
      </c>
      <c r="V34" s="50">
        <f>U34-(Monthly!S32-Monthly!R32)-T34*Monthly!Q32</f>
        <v>755212.5</v>
      </c>
      <c r="W34" s="50">
        <f>U34*MAX(0,1-(MIN(MAX(Inputs!$B$33,0),60)/30))+U33*MAX(0,1-ABS((MIN(MAX(Inputs!$B$33,0),60)/30)-1))+U32*MAX(0,(MIN(MAX(Inputs!$B$33,0),60)/30)-1)</f>
        <v>2182950</v>
      </c>
      <c r="X34" s="50">
        <f>X33+W34-(Monthly!S32-Monthly!R32)-T34*Monthly!Q32-Monthly!X32-Monthly!Y32</f>
        <v>-10653337.5</v>
      </c>
      <c r="Y34" s="47" t="str">
        <f t="shared" si="2"/>
        <v/>
      </c>
      <c r="AA34" s="48">
        <f>IF($A34=0,0,IF(OR(Inputs!$B$38&lt;=1,$A34&gt;=Inputs!$B$38),$AD$4,Inputs!$B$36+($AD$4-Inputs!$B$36)*($A34-1)/(Inputs!$B$38-1)))</f>
        <v>0.85</v>
      </c>
      <c r="AB34" s="49">
        <f>ROUNDDOWN(INT(Inputs!$B$7)*AA34+0.000000001,0)</f>
        <v>170</v>
      </c>
      <c r="AC34" s="50">
        <f>AB34*Monthly!E32*$AB$4</f>
        <v>2024190</v>
      </c>
      <c r="AD34" s="50">
        <f>AC34-(Monthly!S32-Monthly!R32)-AB34*Monthly!Q32</f>
        <v>563377.5</v>
      </c>
      <c r="AE34" s="50">
        <f>AC34*MAX(0,1-(MIN(MAX(Inputs!$B$33,0),60)/30))+AC33*MAX(0,1-ABS((MIN(MAX(Inputs!$B$33,0),60)/30)-1))+AC32*MAX(0,(MIN(MAX(Inputs!$B$33,0),60)/30)-1)</f>
        <v>2024190</v>
      </c>
      <c r="AF34" s="50">
        <f>AF33+AE34-(Monthly!S32-Monthly!R32)-AB34*Monthly!Q32-Monthly!X32-Monthly!Y32</f>
        <v>-15093862.5</v>
      </c>
      <c r="AG34" s="47" t="str">
        <f t="shared" si="3"/>
        <v/>
      </c>
      <c r="AI34" s="48">
        <f>IF($A34=0,0,IF(OR(Inputs!$B$38&lt;=1,$A34&gt;=Inputs!$B$38),$AL$4,Inputs!$B$36+($AL$4-Inputs!$B$36)*($A34-1)/(Inputs!$B$38-1)))</f>
        <v>0.85</v>
      </c>
      <c r="AJ34" s="49">
        <f>ROUNDDOWN(INT(Inputs!$B$7)*AI34+0.000000001,0)</f>
        <v>170</v>
      </c>
      <c r="AK34" s="50">
        <f>AJ34*Monthly!E32*$AJ$4</f>
        <v>2249100</v>
      </c>
      <c r="AL34" s="50">
        <f>AK34-(Monthly!S32-Monthly!R32)-AJ34*Monthly!Q32</f>
        <v>788287.5</v>
      </c>
      <c r="AM34" s="50">
        <f>AK34*MAX(0,1-(MIN(MAX(Inputs!$B$33,0),60)/30))+AK33*MAX(0,1-ABS((MIN(MAX(Inputs!$B$33,0),60)/30)-1))+AK32*MAX(0,(MIN(MAX(Inputs!$B$33,0),60)/30)-1)</f>
        <v>2249100</v>
      </c>
      <c r="AN34" s="50">
        <f>AN33+AM34-(Monthly!S32-Monthly!R32)-AJ34*Monthly!Q32-Monthly!X32-Monthly!Y32</f>
        <v>-10383187.5</v>
      </c>
      <c r="AO34" s="47" t="str">
        <f t="shared" si="4"/>
        <v/>
      </c>
      <c r="AQ34" s="48">
        <f>IF($A34=0,0,IF(OR(Inputs!$B$38&lt;=1,$A34&gt;=Inputs!$B$38),$AT$4,Inputs!$B$36+($AT$4-Inputs!$B$36)*($A34-1)/(Inputs!$B$38-1)))</f>
        <v>0.85</v>
      </c>
      <c r="AR34" s="49">
        <f>ROUNDDOWN(INT(Inputs!$B$7)*AQ34+0.000000001,0)</f>
        <v>170</v>
      </c>
      <c r="AS34" s="50">
        <f>AR34*Monthly!E32*$AR$4</f>
        <v>2474010</v>
      </c>
      <c r="AT34" s="50">
        <f>AS34-(Monthly!S32-Monthly!R32)-AR34*Monthly!Q32</f>
        <v>1013197.5</v>
      </c>
      <c r="AU34" s="50">
        <f>AS34*MAX(0,1-(MIN(MAX(Inputs!$B$33,0),60)/30))+AS33*MAX(0,1-ABS((MIN(MAX(Inputs!$B$33,0),60)/30)-1))+AS32*MAX(0,(MIN(MAX(Inputs!$B$33,0),60)/30)-1)</f>
        <v>2474010</v>
      </c>
      <c r="AV34" s="50">
        <f>AV33+AU34-(Monthly!S32-Monthly!R32)-AR34*Monthly!Q32-Monthly!X32-Monthly!Y32</f>
        <v>-5672512.5</v>
      </c>
      <c r="AW34" s="47" t="str">
        <f t="shared" si="5"/>
        <v/>
      </c>
      <c r="AY34" s="48">
        <f>IF($A34=0,0,IF(OR(Inputs!$B$38&lt;=1,$A34&gt;=Inputs!$B$38),$BB$4,Inputs!$B$36+($BB$4-Inputs!$B$36)*($A34-1)/(Inputs!$B$38-1)))</f>
        <v>0.95</v>
      </c>
      <c r="AZ34" s="49">
        <f>ROUNDDOWN(INT(Inputs!$B$7)*AY34+0.000000001,0)</f>
        <v>190</v>
      </c>
      <c r="BA34" s="50">
        <f>AZ34*Monthly!E32*$AZ$4</f>
        <v>2262330</v>
      </c>
      <c r="BB34" s="50">
        <f>BA34-(Monthly!S32-Monthly!R32)-AZ34*Monthly!Q32</f>
        <v>768442.5</v>
      </c>
      <c r="BC34" s="50">
        <f>BA34*MAX(0,1-(MIN(MAX(Inputs!$B$33,0),60)/30))+BA33*MAX(0,1-ABS((MIN(MAX(Inputs!$B$33,0),60)/30)-1))+BA32*MAX(0,(MIN(MAX(Inputs!$B$33,0),60)/30)-1)</f>
        <v>2262330</v>
      </c>
      <c r="BD34" s="50">
        <f>BD33+BC34-(Monthly!S32-Monthly!R32)-AZ34*Monthly!Q32-Monthly!X32-Monthly!Y32</f>
        <v>-11138137.5</v>
      </c>
      <c r="BE34" s="47" t="str">
        <f t="shared" si="6"/>
        <v/>
      </c>
      <c r="BG34" s="48">
        <f>IF($A34=0,0,IF(OR(Inputs!$B$38&lt;=1,$A34&gt;=Inputs!$B$38),$BJ$4,Inputs!$B$36+($BJ$4-Inputs!$B$36)*($A34-1)/(Inputs!$B$38-1)))</f>
        <v>0.95</v>
      </c>
      <c r="BH34" s="49">
        <f>ROUNDDOWN(INT(Inputs!$B$7)*BG34+0.000000001,0)</f>
        <v>190</v>
      </c>
      <c r="BI34" s="50">
        <f>BH34*Monthly!E32*$BH$4</f>
        <v>2513700</v>
      </c>
      <c r="BJ34" s="50">
        <f>BI34-(Monthly!S32-Monthly!R32)-BH34*Monthly!Q32</f>
        <v>1019812.5</v>
      </c>
      <c r="BK34" s="50">
        <f>BI34*MAX(0,1-(MIN(MAX(Inputs!$B$33,0),60)/30))+BI33*MAX(0,1-ABS((MIN(MAX(Inputs!$B$33,0),60)/30)-1))+BI32*MAX(0,(MIN(MAX(Inputs!$B$33,0),60)/30)-1)</f>
        <v>2513700</v>
      </c>
      <c r="BL34" s="50">
        <f>BL33+BK34-(Monthly!S32-Monthly!R32)-BH34*Monthly!Q32-Monthly!X32-Monthly!Y32</f>
        <v>-5914912.5</v>
      </c>
      <c r="BM34" s="47" t="str">
        <f t="shared" si="7"/>
        <v/>
      </c>
      <c r="BO34" s="48">
        <f>IF($A34=0,0,IF(OR(Inputs!$B$38&lt;=1,$A34&gt;=Inputs!$B$38),$BR$4,Inputs!$B$36+($BR$4-Inputs!$B$36)*($A34-1)/(Inputs!$B$38-1)))</f>
        <v>0.95</v>
      </c>
      <c r="BP34" s="49">
        <f>ROUNDDOWN(INT(Inputs!$B$7)*BO34+0.000000001,0)</f>
        <v>190</v>
      </c>
      <c r="BQ34" s="50">
        <f>BP34*Monthly!E32*$BP$4</f>
        <v>2765070</v>
      </c>
      <c r="BR34" s="50">
        <f>BQ34-(Monthly!S32-Monthly!R32)-BP34*Monthly!Q32</f>
        <v>1271182.5</v>
      </c>
      <c r="BS34" s="50">
        <f>BQ34*MAX(0,1-(MIN(MAX(Inputs!$B$33,0),60)/30))+BQ33*MAX(0,1-ABS((MIN(MAX(Inputs!$B$33,0),60)/30)-1))+BQ32*MAX(0,(MIN(MAX(Inputs!$B$33,0),60)/30)-1)</f>
        <v>2765070</v>
      </c>
      <c r="BT34" s="50">
        <f>BT33+BS34-(Monthly!S32-Monthly!R32)-BP34*Monthly!Q32-Monthly!X32-Monthly!Y32</f>
        <v>-691687.5</v>
      </c>
      <c r="BU34" s="47" t="str">
        <f t="shared" si="8"/>
        <v/>
      </c>
    </row>
    <row r="35" spans="1:73" x14ac:dyDescent="0.2">
      <c r="A35" s="56">
        <f>Monthly!A33</f>
        <v>28</v>
      </c>
      <c r="B35" s="56">
        <f>Monthly!B33</f>
        <v>3</v>
      </c>
      <c r="C35" s="48">
        <f>IF($A35=0,0,IF(OR(Inputs!$B$38&lt;=1,$A35&gt;=Inputs!$B$38),$F$4,Inputs!$B$36+($F$4-Inputs!$B$36)*($A35-1)/(Inputs!$B$38-1)))</f>
        <v>0.75</v>
      </c>
      <c r="D35" s="49">
        <f>ROUNDDOWN(INT(Inputs!$B$7)*C35+0.000000001,0)</f>
        <v>150</v>
      </c>
      <c r="E35" s="50">
        <f>D35*Monthly!E33*$D$4</f>
        <v>1786050</v>
      </c>
      <c r="F35" s="50">
        <f>E35-(Monthly!S33-Monthly!R33)-D35*Monthly!Q33</f>
        <v>358312.5</v>
      </c>
      <c r="G35" s="50">
        <f>E35*MAX(0,1-(MIN(MAX(Inputs!$B$33,0),60)/30))+E34*MAX(0,1-ABS((MIN(MAX(Inputs!$B$33,0),60)/30)-1))+E33*MAX(0,(MIN(MAX(Inputs!$B$33,0),60)/30)-1)</f>
        <v>1786050</v>
      </c>
      <c r="H35" s="50">
        <f>H34+G35-(Monthly!S33-Monthly!R33)-D35*Monthly!Q33-Monthly!X33-Monthly!Y33</f>
        <v>-18691275</v>
      </c>
      <c r="I35" s="47" t="str">
        <f t="shared" si="0"/>
        <v/>
      </c>
      <c r="K35" s="48">
        <f>IF($A35=0,0,IF(OR(Inputs!$B$38&lt;=1,$A35&gt;=Inputs!$B$38),$N$4,Inputs!$B$36+($N$4-Inputs!$B$36)*($A35-1)/(Inputs!$B$38-1)))</f>
        <v>0.75</v>
      </c>
      <c r="L35" s="49">
        <f>ROUNDDOWN(INT(Inputs!$B$7)*K35+0.000000001,0)</f>
        <v>150</v>
      </c>
      <c r="M35" s="50">
        <f>L35*Monthly!E33*$L$4</f>
        <v>1984500</v>
      </c>
      <c r="N35" s="50">
        <f>M35-(Monthly!S33-Monthly!R33)-L35*Monthly!Q33</f>
        <v>556762.5</v>
      </c>
      <c r="O35" s="50">
        <f>M35*MAX(0,1-(MIN(MAX(Inputs!$B$33,0),60)/30))+M34*MAX(0,1-ABS((MIN(MAX(Inputs!$B$33,0),60)/30)-1))+M33*MAX(0,(MIN(MAX(Inputs!$B$33,0),60)/30)-1)</f>
        <v>1984500</v>
      </c>
      <c r="P35" s="50">
        <f>P34+O35-(Monthly!S33-Monthly!R33)-L35*Monthly!Q33-Monthly!X33-Monthly!Y33</f>
        <v>-14294700</v>
      </c>
      <c r="Q35" s="47" t="str">
        <f t="shared" si="1"/>
        <v/>
      </c>
      <c r="S35" s="48">
        <f>IF($A35=0,0,IF(OR(Inputs!$B$38&lt;=1,$A35&gt;=Inputs!$B$38),$V$4,Inputs!$B$36+($V$4-Inputs!$B$36)*($A35-1)/(Inputs!$B$38-1)))</f>
        <v>0.75</v>
      </c>
      <c r="T35" s="49">
        <f>ROUNDDOWN(INT(Inputs!$B$7)*S35+0.000000001,0)</f>
        <v>150</v>
      </c>
      <c r="U35" s="50">
        <f>T35*Monthly!E33*$T$4</f>
        <v>2182950</v>
      </c>
      <c r="V35" s="50">
        <f>U35-(Monthly!S33-Monthly!R33)-T35*Monthly!Q33</f>
        <v>755212.5</v>
      </c>
      <c r="W35" s="50">
        <f>U35*MAX(0,1-(MIN(MAX(Inputs!$B$33,0),60)/30))+U34*MAX(0,1-ABS((MIN(MAX(Inputs!$B$33,0),60)/30)-1))+U33*MAX(0,(MIN(MAX(Inputs!$B$33,0),60)/30)-1)</f>
        <v>2182950</v>
      </c>
      <c r="X35" s="50">
        <f>X34+W35-(Monthly!S33-Monthly!R33)-T35*Monthly!Q33-Monthly!X33-Monthly!Y33</f>
        <v>-9898125</v>
      </c>
      <c r="Y35" s="47" t="str">
        <f t="shared" si="2"/>
        <v/>
      </c>
      <c r="AA35" s="48">
        <f>IF($A35=0,0,IF(OR(Inputs!$B$38&lt;=1,$A35&gt;=Inputs!$B$38),$AD$4,Inputs!$B$36+($AD$4-Inputs!$B$36)*($A35-1)/(Inputs!$B$38-1)))</f>
        <v>0.85</v>
      </c>
      <c r="AB35" s="49">
        <f>ROUNDDOWN(INT(Inputs!$B$7)*AA35+0.000000001,0)</f>
        <v>170</v>
      </c>
      <c r="AC35" s="50">
        <f>AB35*Monthly!E33*$AB$4</f>
        <v>2024190</v>
      </c>
      <c r="AD35" s="50">
        <f>AC35-(Monthly!S33-Monthly!R33)-AB35*Monthly!Q33</f>
        <v>563377.5</v>
      </c>
      <c r="AE35" s="50">
        <f>AC35*MAX(0,1-(MIN(MAX(Inputs!$B$33,0),60)/30))+AC34*MAX(0,1-ABS((MIN(MAX(Inputs!$B$33,0),60)/30)-1))+AC33*MAX(0,(MIN(MAX(Inputs!$B$33,0),60)/30)-1)</f>
        <v>2024190</v>
      </c>
      <c r="AF35" s="50">
        <f>AF34+AE35-(Monthly!S33-Monthly!R33)-AB35*Monthly!Q33-Monthly!X33-Monthly!Y33</f>
        <v>-14530485</v>
      </c>
      <c r="AG35" s="47" t="str">
        <f t="shared" si="3"/>
        <v/>
      </c>
      <c r="AI35" s="48">
        <f>IF($A35=0,0,IF(OR(Inputs!$B$38&lt;=1,$A35&gt;=Inputs!$B$38),$AL$4,Inputs!$B$36+($AL$4-Inputs!$B$36)*($A35-1)/(Inputs!$B$38-1)))</f>
        <v>0.85</v>
      </c>
      <c r="AJ35" s="49">
        <f>ROUNDDOWN(INT(Inputs!$B$7)*AI35+0.000000001,0)</f>
        <v>170</v>
      </c>
      <c r="AK35" s="50">
        <f>AJ35*Monthly!E33*$AJ$4</f>
        <v>2249100</v>
      </c>
      <c r="AL35" s="50">
        <f>AK35-(Monthly!S33-Monthly!R33)-AJ35*Monthly!Q33</f>
        <v>788287.5</v>
      </c>
      <c r="AM35" s="50">
        <f>AK35*MAX(0,1-(MIN(MAX(Inputs!$B$33,0),60)/30))+AK34*MAX(0,1-ABS((MIN(MAX(Inputs!$B$33,0),60)/30)-1))+AK33*MAX(0,(MIN(MAX(Inputs!$B$33,0),60)/30)-1)</f>
        <v>2249100</v>
      </c>
      <c r="AN35" s="50">
        <f>AN34+AM35-(Monthly!S33-Monthly!R33)-AJ35*Monthly!Q33-Monthly!X33-Monthly!Y33</f>
        <v>-9594900</v>
      </c>
      <c r="AO35" s="47" t="str">
        <f t="shared" si="4"/>
        <v/>
      </c>
      <c r="AQ35" s="48">
        <f>IF($A35=0,0,IF(OR(Inputs!$B$38&lt;=1,$A35&gt;=Inputs!$B$38),$AT$4,Inputs!$B$36+($AT$4-Inputs!$B$36)*($A35-1)/(Inputs!$B$38-1)))</f>
        <v>0.85</v>
      </c>
      <c r="AR35" s="49">
        <f>ROUNDDOWN(INT(Inputs!$B$7)*AQ35+0.000000001,0)</f>
        <v>170</v>
      </c>
      <c r="AS35" s="50">
        <f>AR35*Monthly!E33*$AR$4</f>
        <v>2474010</v>
      </c>
      <c r="AT35" s="50">
        <f>AS35-(Monthly!S33-Monthly!R33)-AR35*Monthly!Q33</f>
        <v>1013197.5</v>
      </c>
      <c r="AU35" s="50">
        <f>AS35*MAX(0,1-(MIN(MAX(Inputs!$B$33,0),60)/30))+AS34*MAX(0,1-ABS((MIN(MAX(Inputs!$B$33,0),60)/30)-1))+AS33*MAX(0,(MIN(MAX(Inputs!$B$33,0),60)/30)-1)</f>
        <v>2474010</v>
      </c>
      <c r="AV35" s="50">
        <f>AV34+AU35-(Monthly!S33-Monthly!R33)-AR35*Monthly!Q33-Monthly!X33-Monthly!Y33</f>
        <v>-4659315</v>
      </c>
      <c r="AW35" s="47" t="str">
        <f t="shared" si="5"/>
        <v/>
      </c>
      <c r="AY35" s="48">
        <f>IF($A35=0,0,IF(OR(Inputs!$B$38&lt;=1,$A35&gt;=Inputs!$B$38),$BB$4,Inputs!$B$36+($BB$4-Inputs!$B$36)*($A35-1)/(Inputs!$B$38-1)))</f>
        <v>0.95</v>
      </c>
      <c r="AZ35" s="49">
        <f>ROUNDDOWN(INT(Inputs!$B$7)*AY35+0.000000001,0)</f>
        <v>190</v>
      </c>
      <c r="BA35" s="50">
        <f>AZ35*Monthly!E33*$AZ$4</f>
        <v>2262330</v>
      </c>
      <c r="BB35" s="50">
        <f>BA35-(Monthly!S33-Monthly!R33)-AZ35*Monthly!Q33</f>
        <v>768442.5</v>
      </c>
      <c r="BC35" s="50">
        <f>BA35*MAX(0,1-(MIN(MAX(Inputs!$B$33,0),60)/30))+BA34*MAX(0,1-ABS((MIN(MAX(Inputs!$B$33,0),60)/30)-1))+BA33*MAX(0,(MIN(MAX(Inputs!$B$33,0),60)/30)-1)</f>
        <v>2262330</v>
      </c>
      <c r="BD35" s="50">
        <f>BD34+BC35-(Monthly!S33-Monthly!R33)-AZ35*Monthly!Q33-Monthly!X33-Monthly!Y33</f>
        <v>-10369695</v>
      </c>
      <c r="BE35" s="47" t="str">
        <f t="shared" si="6"/>
        <v/>
      </c>
      <c r="BG35" s="48">
        <f>IF($A35=0,0,IF(OR(Inputs!$B$38&lt;=1,$A35&gt;=Inputs!$B$38),$BJ$4,Inputs!$B$36+($BJ$4-Inputs!$B$36)*($A35-1)/(Inputs!$B$38-1)))</f>
        <v>0.95</v>
      </c>
      <c r="BH35" s="49">
        <f>ROUNDDOWN(INT(Inputs!$B$7)*BG35+0.000000001,0)</f>
        <v>190</v>
      </c>
      <c r="BI35" s="50">
        <f>BH35*Monthly!E33*$BH$4</f>
        <v>2513700</v>
      </c>
      <c r="BJ35" s="50">
        <f>BI35-(Monthly!S33-Monthly!R33)-BH35*Monthly!Q33</f>
        <v>1019812.5</v>
      </c>
      <c r="BK35" s="50">
        <f>BI35*MAX(0,1-(MIN(MAX(Inputs!$B$33,0),60)/30))+BI34*MAX(0,1-ABS((MIN(MAX(Inputs!$B$33,0),60)/30)-1))+BI33*MAX(0,(MIN(MAX(Inputs!$B$33,0),60)/30)-1)</f>
        <v>2513700</v>
      </c>
      <c r="BL35" s="50">
        <f>BL34+BK35-(Monthly!S33-Monthly!R33)-BH35*Monthly!Q33-Monthly!X33-Monthly!Y33</f>
        <v>-4895100</v>
      </c>
      <c r="BM35" s="47" t="str">
        <f t="shared" si="7"/>
        <v/>
      </c>
      <c r="BO35" s="48">
        <f>IF($A35=0,0,IF(OR(Inputs!$B$38&lt;=1,$A35&gt;=Inputs!$B$38),$BR$4,Inputs!$B$36+($BR$4-Inputs!$B$36)*($A35-1)/(Inputs!$B$38-1)))</f>
        <v>0.95</v>
      </c>
      <c r="BP35" s="49">
        <f>ROUNDDOWN(INT(Inputs!$B$7)*BO35+0.000000001,0)</f>
        <v>190</v>
      </c>
      <c r="BQ35" s="50">
        <f>BP35*Monthly!E33*$BP$4</f>
        <v>2765070</v>
      </c>
      <c r="BR35" s="50">
        <f>BQ35-(Monthly!S33-Monthly!R33)-BP35*Monthly!Q33</f>
        <v>1271182.5</v>
      </c>
      <c r="BS35" s="50">
        <f>BQ35*MAX(0,1-(MIN(MAX(Inputs!$B$33,0),60)/30))+BQ34*MAX(0,1-ABS((MIN(MAX(Inputs!$B$33,0),60)/30)-1))+BQ33*MAX(0,(MIN(MAX(Inputs!$B$33,0),60)/30)-1)</f>
        <v>2765070</v>
      </c>
      <c r="BT35" s="50">
        <f>BT34+BS35-(Monthly!S33-Monthly!R33)-BP35*Monthly!Q33-Monthly!X33-Monthly!Y33</f>
        <v>579495</v>
      </c>
      <c r="BU35" s="47">
        <f t="shared" si="8"/>
        <v>28</v>
      </c>
    </row>
    <row r="36" spans="1:73" x14ac:dyDescent="0.2">
      <c r="A36" s="56">
        <f>Monthly!A34</f>
        <v>29</v>
      </c>
      <c r="B36" s="56">
        <f>Monthly!B34</f>
        <v>3</v>
      </c>
      <c r="C36" s="48">
        <f>IF($A36=0,0,IF(OR(Inputs!$B$38&lt;=1,$A36&gt;=Inputs!$B$38),$F$4,Inputs!$B$36+($F$4-Inputs!$B$36)*($A36-1)/(Inputs!$B$38-1)))</f>
        <v>0.75</v>
      </c>
      <c r="D36" s="49">
        <f>ROUNDDOWN(INT(Inputs!$B$7)*C36+0.000000001,0)</f>
        <v>150</v>
      </c>
      <c r="E36" s="50">
        <f>D36*Monthly!E34*$D$4</f>
        <v>1786050</v>
      </c>
      <c r="F36" s="50">
        <f>E36-(Monthly!S34-Monthly!R34)-D36*Monthly!Q34</f>
        <v>358312.5</v>
      </c>
      <c r="G36" s="50">
        <f>E36*MAX(0,1-(MIN(MAX(Inputs!$B$33,0),60)/30))+E35*MAX(0,1-ABS((MIN(MAX(Inputs!$B$33,0),60)/30)-1))+E34*MAX(0,(MIN(MAX(Inputs!$B$33,0),60)/30)-1)</f>
        <v>1786050</v>
      </c>
      <c r="H36" s="50">
        <f>H35+G36-(Monthly!S34-Monthly!R34)-D36*Monthly!Q34-Monthly!X34-Monthly!Y34</f>
        <v>-18332962.5</v>
      </c>
      <c r="I36" s="47" t="str">
        <f t="shared" si="0"/>
        <v/>
      </c>
      <c r="K36" s="48">
        <f>IF($A36=0,0,IF(OR(Inputs!$B$38&lt;=1,$A36&gt;=Inputs!$B$38),$N$4,Inputs!$B$36+($N$4-Inputs!$B$36)*($A36-1)/(Inputs!$B$38-1)))</f>
        <v>0.75</v>
      </c>
      <c r="L36" s="49">
        <f>ROUNDDOWN(INT(Inputs!$B$7)*K36+0.000000001,0)</f>
        <v>150</v>
      </c>
      <c r="M36" s="50">
        <f>L36*Monthly!E34*$L$4</f>
        <v>1984500</v>
      </c>
      <c r="N36" s="50">
        <f>M36-(Monthly!S34-Monthly!R34)-L36*Monthly!Q34</f>
        <v>556762.5</v>
      </c>
      <c r="O36" s="50">
        <f>M36*MAX(0,1-(MIN(MAX(Inputs!$B$33,0),60)/30))+M35*MAX(0,1-ABS((MIN(MAX(Inputs!$B$33,0),60)/30)-1))+M34*MAX(0,(MIN(MAX(Inputs!$B$33,0),60)/30)-1)</f>
        <v>1984500</v>
      </c>
      <c r="P36" s="50">
        <f>P35+O36-(Monthly!S34-Monthly!R34)-L36*Monthly!Q34-Monthly!X34-Monthly!Y34</f>
        <v>-13737937.5</v>
      </c>
      <c r="Q36" s="47" t="str">
        <f t="shared" si="1"/>
        <v/>
      </c>
      <c r="S36" s="48">
        <f>IF($A36=0,0,IF(OR(Inputs!$B$38&lt;=1,$A36&gt;=Inputs!$B$38),$V$4,Inputs!$B$36+($V$4-Inputs!$B$36)*($A36-1)/(Inputs!$B$38-1)))</f>
        <v>0.75</v>
      </c>
      <c r="T36" s="49">
        <f>ROUNDDOWN(INT(Inputs!$B$7)*S36+0.000000001,0)</f>
        <v>150</v>
      </c>
      <c r="U36" s="50">
        <f>T36*Monthly!E34*$T$4</f>
        <v>2182950</v>
      </c>
      <c r="V36" s="50">
        <f>U36-(Monthly!S34-Monthly!R34)-T36*Monthly!Q34</f>
        <v>755212.5</v>
      </c>
      <c r="W36" s="50">
        <f>U36*MAX(0,1-(MIN(MAX(Inputs!$B$33,0),60)/30))+U35*MAX(0,1-ABS((MIN(MAX(Inputs!$B$33,0),60)/30)-1))+U34*MAX(0,(MIN(MAX(Inputs!$B$33,0),60)/30)-1)</f>
        <v>2182950</v>
      </c>
      <c r="X36" s="50">
        <f>X35+W36-(Monthly!S34-Monthly!R34)-T36*Monthly!Q34-Monthly!X34-Monthly!Y34</f>
        <v>-9142912.5</v>
      </c>
      <c r="Y36" s="47" t="str">
        <f t="shared" si="2"/>
        <v/>
      </c>
      <c r="AA36" s="48">
        <f>IF($A36=0,0,IF(OR(Inputs!$B$38&lt;=1,$A36&gt;=Inputs!$B$38),$AD$4,Inputs!$B$36+($AD$4-Inputs!$B$36)*($A36-1)/(Inputs!$B$38-1)))</f>
        <v>0.85</v>
      </c>
      <c r="AB36" s="49">
        <f>ROUNDDOWN(INT(Inputs!$B$7)*AA36+0.000000001,0)</f>
        <v>170</v>
      </c>
      <c r="AC36" s="50">
        <f>AB36*Monthly!E34*$AB$4</f>
        <v>2024190</v>
      </c>
      <c r="AD36" s="50">
        <f>AC36-(Monthly!S34-Monthly!R34)-AB36*Monthly!Q34</f>
        <v>563377.5</v>
      </c>
      <c r="AE36" s="50">
        <f>AC36*MAX(0,1-(MIN(MAX(Inputs!$B$33,0),60)/30))+AC35*MAX(0,1-ABS((MIN(MAX(Inputs!$B$33,0),60)/30)-1))+AC34*MAX(0,(MIN(MAX(Inputs!$B$33,0),60)/30)-1)</f>
        <v>2024190</v>
      </c>
      <c r="AF36" s="50">
        <f>AF35+AE36-(Monthly!S34-Monthly!R34)-AB36*Monthly!Q34-Monthly!X34-Monthly!Y34</f>
        <v>-13967107.5</v>
      </c>
      <c r="AG36" s="47" t="str">
        <f t="shared" si="3"/>
        <v/>
      </c>
      <c r="AI36" s="48">
        <f>IF($A36=0,0,IF(OR(Inputs!$B$38&lt;=1,$A36&gt;=Inputs!$B$38),$AL$4,Inputs!$B$36+($AL$4-Inputs!$B$36)*($A36-1)/(Inputs!$B$38-1)))</f>
        <v>0.85</v>
      </c>
      <c r="AJ36" s="49">
        <f>ROUNDDOWN(INT(Inputs!$B$7)*AI36+0.000000001,0)</f>
        <v>170</v>
      </c>
      <c r="AK36" s="50">
        <f>AJ36*Monthly!E34*$AJ$4</f>
        <v>2249100</v>
      </c>
      <c r="AL36" s="50">
        <f>AK36-(Monthly!S34-Monthly!R34)-AJ36*Monthly!Q34</f>
        <v>788287.5</v>
      </c>
      <c r="AM36" s="50">
        <f>AK36*MAX(0,1-(MIN(MAX(Inputs!$B$33,0),60)/30))+AK35*MAX(0,1-ABS((MIN(MAX(Inputs!$B$33,0),60)/30)-1))+AK34*MAX(0,(MIN(MAX(Inputs!$B$33,0),60)/30)-1)</f>
        <v>2249100</v>
      </c>
      <c r="AN36" s="50">
        <f>AN35+AM36-(Monthly!S34-Monthly!R34)-AJ36*Monthly!Q34-Monthly!X34-Monthly!Y34</f>
        <v>-8806612.5</v>
      </c>
      <c r="AO36" s="47" t="str">
        <f t="shared" si="4"/>
        <v/>
      </c>
      <c r="AQ36" s="48">
        <f>IF($A36=0,0,IF(OR(Inputs!$B$38&lt;=1,$A36&gt;=Inputs!$B$38),$AT$4,Inputs!$B$36+($AT$4-Inputs!$B$36)*($A36-1)/(Inputs!$B$38-1)))</f>
        <v>0.85</v>
      </c>
      <c r="AR36" s="49">
        <f>ROUNDDOWN(INT(Inputs!$B$7)*AQ36+0.000000001,0)</f>
        <v>170</v>
      </c>
      <c r="AS36" s="50">
        <f>AR36*Monthly!E34*$AR$4</f>
        <v>2474010</v>
      </c>
      <c r="AT36" s="50">
        <f>AS36-(Monthly!S34-Monthly!R34)-AR36*Monthly!Q34</f>
        <v>1013197.5</v>
      </c>
      <c r="AU36" s="50">
        <f>AS36*MAX(0,1-(MIN(MAX(Inputs!$B$33,0),60)/30))+AS35*MAX(0,1-ABS((MIN(MAX(Inputs!$B$33,0),60)/30)-1))+AS34*MAX(0,(MIN(MAX(Inputs!$B$33,0),60)/30)-1)</f>
        <v>2474010</v>
      </c>
      <c r="AV36" s="50">
        <f>AV35+AU36-(Monthly!S34-Monthly!R34)-AR36*Monthly!Q34-Monthly!X34-Monthly!Y34</f>
        <v>-3646117.5</v>
      </c>
      <c r="AW36" s="47" t="str">
        <f t="shared" si="5"/>
        <v/>
      </c>
      <c r="AY36" s="48">
        <f>IF($A36=0,0,IF(OR(Inputs!$B$38&lt;=1,$A36&gt;=Inputs!$B$38),$BB$4,Inputs!$B$36+($BB$4-Inputs!$B$36)*($A36-1)/(Inputs!$B$38-1)))</f>
        <v>0.95</v>
      </c>
      <c r="AZ36" s="49">
        <f>ROUNDDOWN(INT(Inputs!$B$7)*AY36+0.000000001,0)</f>
        <v>190</v>
      </c>
      <c r="BA36" s="50">
        <f>AZ36*Monthly!E34*$AZ$4</f>
        <v>2262330</v>
      </c>
      <c r="BB36" s="50">
        <f>BA36-(Monthly!S34-Monthly!R34)-AZ36*Monthly!Q34</f>
        <v>768442.5</v>
      </c>
      <c r="BC36" s="50">
        <f>BA36*MAX(0,1-(MIN(MAX(Inputs!$B$33,0),60)/30))+BA35*MAX(0,1-ABS((MIN(MAX(Inputs!$B$33,0),60)/30)-1))+BA34*MAX(0,(MIN(MAX(Inputs!$B$33,0),60)/30)-1)</f>
        <v>2262330</v>
      </c>
      <c r="BD36" s="50">
        <f>BD35+BC36-(Monthly!S34-Monthly!R34)-AZ36*Monthly!Q34-Monthly!X34-Monthly!Y34</f>
        <v>-9601252.5</v>
      </c>
      <c r="BE36" s="47" t="str">
        <f t="shared" si="6"/>
        <v/>
      </c>
      <c r="BG36" s="48">
        <f>IF($A36=0,0,IF(OR(Inputs!$B$38&lt;=1,$A36&gt;=Inputs!$B$38),$BJ$4,Inputs!$B$36+($BJ$4-Inputs!$B$36)*($A36-1)/(Inputs!$B$38-1)))</f>
        <v>0.95</v>
      </c>
      <c r="BH36" s="49">
        <f>ROUNDDOWN(INT(Inputs!$B$7)*BG36+0.000000001,0)</f>
        <v>190</v>
      </c>
      <c r="BI36" s="50">
        <f>BH36*Monthly!E34*$BH$4</f>
        <v>2513700</v>
      </c>
      <c r="BJ36" s="50">
        <f>BI36-(Monthly!S34-Monthly!R34)-BH36*Monthly!Q34</f>
        <v>1019812.5</v>
      </c>
      <c r="BK36" s="50">
        <f>BI36*MAX(0,1-(MIN(MAX(Inputs!$B$33,0),60)/30))+BI35*MAX(0,1-ABS((MIN(MAX(Inputs!$B$33,0),60)/30)-1))+BI34*MAX(0,(MIN(MAX(Inputs!$B$33,0),60)/30)-1)</f>
        <v>2513700</v>
      </c>
      <c r="BL36" s="50">
        <f>BL35+BK36-(Monthly!S34-Monthly!R34)-BH36*Monthly!Q34-Monthly!X34-Monthly!Y34</f>
        <v>-3875287.5</v>
      </c>
      <c r="BM36" s="47" t="str">
        <f t="shared" si="7"/>
        <v/>
      </c>
      <c r="BO36" s="48">
        <f>IF($A36=0,0,IF(OR(Inputs!$B$38&lt;=1,$A36&gt;=Inputs!$B$38),$BR$4,Inputs!$B$36+($BR$4-Inputs!$B$36)*($A36-1)/(Inputs!$B$38-1)))</f>
        <v>0.95</v>
      </c>
      <c r="BP36" s="49">
        <f>ROUNDDOWN(INT(Inputs!$B$7)*BO36+0.000000001,0)</f>
        <v>190</v>
      </c>
      <c r="BQ36" s="50">
        <f>BP36*Monthly!E34*$BP$4</f>
        <v>2765070</v>
      </c>
      <c r="BR36" s="50">
        <f>BQ36-(Monthly!S34-Monthly!R34)-BP36*Monthly!Q34</f>
        <v>1271182.5</v>
      </c>
      <c r="BS36" s="50">
        <f>BQ36*MAX(0,1-(MIN(MAX(Inputs!$B$33,0),60)/30))+BQ35*MAX(0,1-ABS((MIN(MAX(Inputs!$B$33,0),60)/30)-1))+BQ34*MAX(0,(MIN(MAX(Inputs!$B$33,0),60)/30)-1)</f>
        <v>2765070</v>
      </c>
      <c r="BT36" s="50">
        <f>BT35+BS36-(Monthly!S34-Monthly!R34)-BP36*Monthly!Q34-Monthly!X34-Monthly!Y34</f>
        <v>1850677.5</v>
      </c>
      <c r="BU36" s="47">
        <f t="shared" si="8"/>
        <v>29</v>
      </c>
    </row>
    <row r="37" spans="1:73" x14ac:dyDescent="0.2">
      <c r="A37" s="56">
        <f>Monthly!A35</f>
        <v>30</v>
      </c>
      <c r="B37" s="56">
        <f>Monthly!B35</f>
        <v>3</v>
      </c>
      <c r="C37" s="48">
        <f>IF($A37=0,0,IF(OR(Inputs!$B$38&lt;=1,$A37&gt;=Inputs!$B$38),$F$4,Inputs!$B$36+($F$4-Inputs!$B$36)*($A37-1)/(Inputs!$B$38-1)))</f>
        <v>0.75</v>
      </c>
      <c r="D37" s="49">
        <f>ROUNDDOWN(INT(Inputs!$B$7)*C37+0.000000001,0)</f>
        <v>150</v>
      </c>
      <c r="E37" s="50">
        <f>D37*Monthly!E35*$D$4</f>
        <v>1786050</v>
      </c>
      <c r="F37" s="50">
        <f>E37-(Monthly!S35-Monthly!R35)-D37*Monthly!Q35</f>
        <v>358312.5</v>
      </c>
      <c r="G37" s="50">
        <f>E37*MAX(0,1-(MIN(MAX(Inputs!$B$33,0),60)/30))+E36*MAX(0,1-ABS((MIN(MAX(Inputs!$B$33,0),60)/30)-1))+E35*MAX(0,(MIN(MAX(Inputs!$B$33,0),60)/30)-1)</f>
        <v>1786050</v>
      </c>
      <c r="H37" s="50">
        <f>H36+G37-(Monthly!S35-Monthly!R35)-D37*Monthly!Q35-Monthly!X35-Monthly!Y35</f>
        <v>-17974650</v>
      </c>
      <c r="I37" s="47" t="str">
        <f t="shared" si="0"/>
        <v/>
      </c>
      <c r="K37" s="48">
        <f>IF($A37=0,0,IF(OR(Inputs!$B$38&lt;=1,$A37&gt;=Inputs!$B$38),$N$4,Inputs!$B$36+($N$4-Inputs!$B$36)*($A37-1)/(Inputs!$B$38-1)))</f>
        <v>0.75</v>
      </c>
      <c r="L37" s="49">
        <f>ROUNDDOWN(INT(Inputs!$B$7)*K37+0.000000001,0)</f>
        <v>150</v>
      </c>
      <c r="M37" s="50">
        <f>L37*Monthly!E35*$L$4</f>
        <v>1984500</v>
      </c>
      <c r="N37" s="50">
        <f>M37-(Monthly!S35-Monthly!R35)-L37*Monthly!Q35</f>
        <v>556762.5</v>
      </c>
      <c r="O37" s="50">
        <f>M37*MAX(0,1-(MIN(MAX(Inputs!$B$33,0),60)/30))+M36*MAX(0,1-ABS((MIN(MAX(Inputs!$B$33,0),60)/30)-1))+M35*MAX(0,(MIN(MAX(Inputs!$B$33,0),60)/30)-1)</f>
        <v>1984500</v>
      </c>
      <c r="P37" s="50">
        <f>P36+O37-(Monthly!S35-Monthly!R35)-L37*Monthly!Q35-Monthly!X35-Monthly!Y35</f>
        <v>-13181175</v>
      </c>
      <c r="Q37" s="47" t="str">
        <f t="shared" si="1"/>
        <v/>
      </c>
      <c r="S37" s="48">
        <f>IF($A37=0,0,IF(OR(Inputs!$B$38&lt;=1,$A37&gt;=Inputs!$B$38),$V$4,Inputs!$B$36+($V$4-Inputs!$B$36)*($A37-1)/(Inputs!$B$38-1)))</f>
        <v>0.75</v>
      </c>
      <c r="T37" s="49">
        <f>ROUNDDOWN(INT(Inputs!$B$7)*S37+0.000000001,0)</f>
        <v>150</v>
      </c>
      <c r="U37" s="50">
        <f>T37*Monthly!E35*$T$4</f>
        <v>2182950</v>
      </c>
      <c r="V37" s="50">
        <f>U37-(Monthly!S35-Monthly!R35)-T37*Monthly!Q35</f>
        <v>755212.5</v>
      </c>
      <c r="W37" s="50">
        <f>U37*MAX(0,1-(MIN(MAX(Inputs!$B$33,0),60)/30))+U36*MAX(0,1-ABS((MIN(MAX(Inputs!$B$33,0),60)/30)-1))+U35*MAX(0,(MIN(MAX(Inputs!$B$33,0),60)/30)-1)</f>
        <v>2182950</v>
      </c>
      <c r="X37" s="50">
        <f>X36+W37-(Monthly!S35-Monthly!R35)-T37*Monthly!Q35-Monthly!X35-Monthly!Y35</f>
        <v>-8387700</v>
      </c>
      <c r="Y37" s="47" t="str">
        <f t="shared" si="2"/>
        <v/>
      </c>
      <c r="AA37" s="48">
        <f>IF($A37=0,0,IF(OR(Inputs!$B$38&lt;=1,$A37&gt;=Inputs!$B$38),$AD$4,Inputs!$B$36+($AD$4-Inputs!$B$36)*($A37-1)/(Inputs!$B$38-1)))</f>
        <v>0.85</v>
      </c>
      <c r="AB37" s="49">
        <f>ROUNDDOWN(INT(Inputs!$B$7)*AA37+0.000000001,0)</f>
        <v>170</v>
      </c>
      <c r="AC37" s="50">
        <f>AB37*Monthly!E35*$AB$4</f>
        <v>2024190</v>
      </c>
      <c r="AD37" s="50">
        <f>AC37-(Monthly!S35-Monthly!R35)-AB37*Monthly!Q35</f>
        <v>563377.5</v>
      </c>
      <c r="AE37" s="50">
        <f>AC37*MAX(0,1-(MIN(MAX(Inputs!$B$33,0),60)/30))+AC36*MAX(0,1-ABS((MIN(MAX(Inputs!$B$33,0),60)/30)-1))+AC35*MAX(0,(MIN(MAX(Inputs!$B$33,0),60)/30)-1)</f>
        <v>2024190</v>
      </c>
      <c r="AF37" s="50">
        <f>AF36+AE37-(Monthly!S35-Monthly!R35)-AB37*Monthly!Q35-Monthly!X35-Monthly!Y35</f>
        <v>-13403730</v>
      </c>
      <c r="AG37" s="47" t="str">
        <f t="shared" si="3"/>
        <v/>
      </c>
      <c r="AI37" s="48">
        <f>IF($A37=0,0,IF(OR(Inputs!$B$38&lt;=1,$A37&gt;=Inputs!$B$38),$AL$4,Inputs!$B$36+($AL$4-Inputs!$B$36)*($A37-1)/(Inputs!$B$38-1)))</f>
        <v>0.85</v>
      </c>
      <c r="AJ37" s="49">
        <f>ROUNDDOWN(INT(Inputs!$B$7)*AI37+0.000000001,0)</f>
        <v>170</v>
      </c>
      <c r="AK37" s="50">
        <f>AJ37*Monthly!E35*$AJ$4</f>
        <v>2249100</v>
      </c>
      <c r="AL37" s="50">
        <f>AK37-(Monthly!S35-Monthly!R35)-AJ37*Monthly!Q35</f>
        <v>788287.5</v>
      </c>
      <c r="AM37" s="50">
        <f>AK37*MAX(0,1-(MIN(MAX(Inputs!$B$33,0),60)/30))+AK36*MAX(0,1-ABS((MIN(MAX(Inputs!$B$33,0),60)/30)-1))+AK35*MAX(0,(MIN(MAX(Inputs!$B$33,0),60)/30)-1)</f>
        <v>2249100</v>
      </c>
      <c r="AN37" s="50">
        <f>AN36+AM37-(Monthly!S35-Monthly!R35)-AJ37*Monthly!Q35-Monthly!X35-Monthly!Y35</f>
        <v>-8018325</v>
      </c>
      <c r="AO37" s="47" t="str">
        <f t="shared" si="4"/>
        <v/>
      </c>
      <c r="AQ37" s="48">
        <f>IF($A37=0,0,IF(OR(Inputs!$B$38&lt;=1,$A37&gt;=Inputs!$B$38),$AT$4,Inputs!$B$36+($AT$4-Inputs!$B$36)*($A37-1)/(Inputs!$B$38-1)))</f>
        <v>0.85</v>
      </c>
      <c r="AR37" s="49">
        <f>ROUNDDOWN(INT(Inputs!$B$7)*AQ37+0.000000001,0)</f>
        <v>170</v>
      </c>
      <c r="AS37" s="50">
        <f>AR37*Monthly!E35*$AR$4</f>
        <v>2474010</v>
      </c>
      <c r="AT37" s="50">
        <f>AS37-(Monthly!S35-Monthly!R35)-AR37*Monthly!Q35</f>
        <v>1013197.5</v>
      </c>
      <c r="AU37" s="50">
        <f>AS37*MAX(0,1-(MIN(MAX(Inputs!$B$33,0),60)/30))+AS36*MAX(0,1-ABS((MIN(MAX(Inputs!$B$33,0),60)/30)-1))+AS35*MAX(0,(MIN(MAX(Inputs!$B$33,0),60)/30)-1)</f>
        <v>2474010</v>
      </c>
      <c r="AV37" s="50">
        <f>AV36+AU37-(Monthly!S35-Monthly!R35)-AR37*Monthly!Q35-Monthly!X35-Monthly!Y35</f>
        <v>-2632920</v>
      </c>
      <c r="AW37" s="47" t="str">
        <f t="shared" si="5"/>
        <v/>
      </c>
      <c r="AY37" s="48">
        <f>IF($A37=0,0,IF(OR(Inputs!$B$38&lt;=1,$A37&gt;=Inputs!$B$38),$BB$4,Inputs!$B$36+($BB$4-Inputs!$B$36)*($A37-1)/(Inputs!$B$38-1)))</f>
        <v>0.95</v>
      </c>
      <c r="AZ37" s="49">
        <f>ROUNDDOWN(INT(Inputs!$B$7)*AY37+0.000000001,0)</f>
        <v>190</v>
      </c>
      <c r="BA37" s="50">
        <f>AZ37*Monthly!E35*$AZ$4</f>
        <v>2262330</v>
      </c>
      <c r="BB37" s="50">
        <f>BA37-(Monthly!S35-Monthly!R35)-AZ37*Monthly!Q35</f>
        <v>768442.5</v>
      </c>
      <c r="BC37" s="50">
        <f>BA37*MAX(0,1-(MIN(MAX(Inputs!$B$33,0),60)/30))+BA36*MAX(0,1-ABS((MIN(MAX(Inputs!$B$33,0),60)/30)-1))+BA35*MAX(0,(MIN(MAX(Inputs!$B$33,0),60)/30)-1)</f>
        <v>2262330</v>
      </c>
      <c r="BD37" s="50">
        <f>BD36+BC37-(Monthly!S35-Monthly!R35)-AZ37*Monthly!Q35-Monthly!X35-Monthly!Y35</f>
        <v>-8832810</v>
      </c>
      <c r="BE37" s="47" t="str">
        <f t="shared" si="6"/>
        <v/>
      </c>
      <c r="BG37" s="48">
        <f>IF($A37=0,0,IF(OR(Inputs!$B$38&lt;=1,$A37&gt;=Inputs!$B$38),$BJ$4,Inputs!$B$36+($BJ$4-Inputs!$B$36)*($A37-1)/(Inputs!$B$38-1)))</f>
        <v>0.95</v>
      </c>
      <c r="BH37" s="49">
        <f>ROUNDDOWN(INT(Inputs!$B$7)*BG37+0.000000001,0)</f>
        <v>190</v>
      </c>
      <c r="BI37" s="50">
        <f>BH37*Monthly!E35*$BH$4</f>
        <v>2513700</v>
      </c>
      <c r="BJ37" s="50">
        <f>BI37-(Monthly!S35-Monthly!R35)-BH37*Monthly!Q35</f>
        <v>1019812.5</v>
      </c>
      <c r="BK37" s="50">
        <f>BI37*MAX(0,1-(MIN(MAX(Inputs!$B$33,0),60)/30))+BI36*MAX(0,1-ABS((MIN(MAX(Inputs!$B$33,0),60)/30)-1))+BI35*MAX(0,(MIN(MAX(Inputs!$B$33,0),60)/30)-1)</f>
        <v>2513700</v>
      </c>
      <c r="BL37" s="50">
        <f>BL36+BK37-(Monthly!S35-Monthly!R35)-BH37*Monthly!Q35-Monthly!X35-Monthly!Y35</f>
        <v>-2855475</v>
      </c>
      <c r="BM37" s="47" t="str">
        <f t="shared" si="7"/>
        <v/>
      </c>
      <c r="BO37" s="48">
        <f>IF($A37=0,0,IF(OR(Inputs!$B$38&lt;=1,$A37&gt;=Inputs!$B$38),$BR$4,Inputs!$B$36+($BR$4-Inputs!$B$36)*($A37-1)/(Inputs!$B$38-1)))</f>
        <v>0.95</v>
      </c>
      <c r="BP37" s="49">
        <f>ROUNDDOWN(INT(Inputs!$B$7)*BO37+0.000000001,0)</f>
        <v>190</v>
      </c>
      <c r="BQ37" s="50">
        <f>BP37*Monthly!E35*$BP$4</f>
        <v>2765070</v>
      </c>
      <c r="BR37" s="50">
        <f>BQ37-(Monthly!S35-Monthly!R35)-BP37*Monthly!Q35</f>
        <v>1271182.5</v>
      </c>
      <c r="BS37" s="50">
        <f>BQ37*MAX(0,1-(MIN(MAX(Inputs!$B$33,0),60)/30))+BQ36*MAX(0,1-ABS((MIN(MAX(Inputs!$B$33,0),60)/30)-1))+BQ35*MAX(0,(MIN(MAX(Inputs!$B$33,0),60)/30)-1)</f>
        <v>2765070</v>
      </c>
      <c r="BT37" s="50">
        <f>BT36+BS37-(Monthly!S35-Monthly!R35)-BP37*Monthly!Q35-Monthly!X35-Monthly!Y35</f>
        <v>3121860</v>
      </c>
      <c r="BU37" s="47">
        <f t="shared" si="8"/>
        <v>30</v>
      </c>
    </row>
    <row r="38" spans="1:73" x14ac:dyDescent="0.2">
      <c r="A38" s="56">
        <f>Monthly!A36</f>
        <v>31</v>
      </c>
      <c r="B38" s="56">
        <f>Monthly!B36</f>
        <v>3</v>
      </c>
      <c r="C38" s="48">
        <f>IF($A38=0,0,IF(OR(Inputs!$B$38&lt;=1,$A38&gt;=Inputs!$B$38),$F$4,Inputs!$B$36+($F$4-Inputs!$B$36)*($A38-1)/(Inputs!$B$38-1)))</f>
        <v>0.75</v>
      </c>
      <c r="D38" s="49">
        <f>ROUNDDOWN(INT(Inputs!$B$7)*C38+0.000000001,0)</f>
        <v>150</v>
      </c>
      <c r="E38" s="50">
        <f>D38*Monthly!E36*$D$4</f>
        <v>1786050</v>
      </c>
      <c r="F38" s="50">
        <f>E38-(Monthly!S36-Monthly!R36)-D38*Monthly!Q36</f>
        <v>358312.5</v>
      </c>
      <c r="G38" s="50">
        <f>E38*MAX(0,1-(MIN(MAX(Inputs!$B$33,0),60)/30))+E37*MAX(0,1-ABS((MIN(MAX(Inputs!$B$33,0),60)/30)-1))+E36*MAX(0,(MIN(MAX(Inputs!$B$33,0),60)/30)-1)</f>
        <v>1786050</v>
      </c>
      <c r="H38" s="50">
        <f>H37+G38-(Monthly!S36-Monthly!R36)-D38*Monthly!Q36-Monthly!X36-Monthly!Y36</f>
        <v>-17616337.5</v>
      </c>
      <c r="I38" s="47" t="str">
        <f t="shared" si="0"/>
        <v/>
      </c>
      <c r="K38" s="48">
        <f>IF($A38=0,0,IF(OR(Inputs!$B$38&lt;=1,$A38&gt;=Inputs!$B$38),$N$4,Inputs!$B$36+($N$4-Inputs!$B$36)*($A38-1)/(Inputs!$B$38-1)))</f>
        <v>0.75</v>
      </c>
      <c r="L38" s="49">
        <f>ROUNDDOWN(INT(Inputs!$B$7)*K38+0.000000001,0)</f>
        <v>150</v>
      </c>
      <c r="M38" s="50">
        <f>L38*Monthly!E36*$L$4</f>
        <v>1984500</v>
      </c>
      <c r="N38" s="50">
        <f>M38-(Monthly!S36-Monthly!R36)-L38*Monthly!Q36</f>
        <v>556762.5</v>
      </c>
      <c r="O38" s="50">
        <f>M38*MAX(0,1-(MIN(MAX(Inputs!$B$33,0),60)/30))+M37*MAX(0,1-ABS((MIN(MAX(Inputs!$B$33,0),60)/30)-1))+M36*MAX(0,(MIN(MAX(Inputs!$B$33,0),60)/30)-1)</f>
        <v>1984500</v>
      </c>
      <c r="P38" s="50">
        <f>P37+O38-(Monthly!S36-Monthly!R36)-L38*Monthly!Q36-Monthly!X36-Monthly!Y36</f>
        <v>-12624412.5</v>
      </c>
      <c r="Q38" s="47" t="str">
        <f t="shared" si="1"/>
        <v/>
      </c>
      <c r="S38" s="48">
        <f>IF($A38=0,0,IF(OR(Inputs!$B$38&lt;=1,$A38&gt;=Inputs!$B$38),$V$4,Inputs!$B$36+($V$4-Inputs!$B$36)*($A38-1)/(Inputs!$B$38-1)))</f>
        <v>0.75</v>
      </c>
      <c r="T38" s="49">
        <f>ROUNDDOWN(INT(Inputs!$B$7)*S38+0.000000001,0)</f>
        <v>150</v>
      </c>
      <c r="U38" s="50">
        <f>T38*Monthly!E36*$T$4</f>
        <v>2182950</v>
      </c>
      <c r="V38" s="50">
        <f>U38-(Monthly!S36-Monthly!R36)-T38*Monthly!Q36</f>
        <v>755212.5</v>
      </c>
      <c r="W38" s="50">
        <f>U38*MAX(0,1-(MIN(MAX(Inputs!$B$33,0),60)/30))+U37*MAX(0,1-ABS((MIN(MAX(Inputs!$B$33,0),60)/30)-1))+U36*MAX(0,(MIN(MAX(Inputs!$B$33,0),60)/30)-1)</f>
        <v>2182950</v>
      </c>
      <c r="X38" s="50">
        <f>X37+W38-(Monthly!S36-Monthly!R36)-T38*Monthly!Q36-Monthly!X36-Monthly!Y36</f>
        <v>-7632487.5</v>
      </c>
      <c r="Y38" s="47" t="str">
        <f t="shared" si="2"/>
        <v/>
      </c>
      <c r="AA38" s="48">
        <f>IF($A38=0,0,IF(OR(Inputs!$B$38&lt;=1,$A38&gt;=Inputs!$B$38),$AD$4,Inputs!$B$36+($AD$4-Inputs!$B$36)*($A38-1)/(Inputs!$B$38-1)))</f>
        <v>0.85</v>
      </c>
      <c r="AB38" s="49">
        <f>ROUNDDOWN(INT(Inputs!$B$7)*AA38+0.000000001,0)</f>
        <v>170</v>
      </c>
      <c r="AC38" s="50">
        <f>AB38*Monthly!E36*$AB$4</f>
        <v>2024190</v>
      </c>
      <c r="AD38" s="50">
        <f>AC38-(Monthly!S36-Monthly!R36)-AB38*Monthly!Q36</f>
        <v>563377.5</v>
      </c>
      <c r="AE38" s="50">
        <f>AC38*MAX(0,1-(MIN(MAX(Inputs!$B$33,0),60)/30))+AC37*MAX(0,1-ABS((MIN(MAX(Inputs!$B$33,0),60)/30)-1))+AC36*MAX(0,(MIN(MAX(Inputs!$B$33,0),60)/30)-1)</f>
        <v>2024190</v>
      </c>
      <c r="AF38" s="50">
        <f>AF37+AE38-(Monthly!S36-Monthly!R36)-AB38*Monthly!Q36-Monthly!X36-Monthly!Y36</f>
        <v>-12840352.5</v>
      </c>
      <c r="AG38" s="47" t="str">
        <f t="shared" si="3"/>
        <v/>
      </c>
      <c r="AI38" s="48">
        <f>IF($A38=0,0,IF(OR(Inputs!$B$38&lt;=1,$A38&gt;=Inputs!$B$38),$AL$4,Inputs!$B$36+($AL$4-Inputs!$B$36)*($A38-1)/(Inputs!$B$38-1)))</f>
        <v>0.85</v>
      </c>
      <c r="AJ38" s="49">
        <f>ROUNDDOWN(INT(Inputs!$B$7)*AI38+0.000000001,0)</f>
        <v>170</v>
      </c>
      <c r="AK38" s="50">
        <f>AJ38*Monthly!E36*$AJ$4</f>
        <v>2249100</v>
      </c>
      <c r="AL38" s="50">
        <f>AK38-(Monthly!S36-Monthly!R36)-AJ38*Monthly!Q36</f>
        <v>788287.5</v>
      </c>
      <c r="AM38" s="50">
        <f>AK38*MAX(0,1-(MIN(MAX(Inputs!$B$33,0),60)/30))+AK37*MAX(0,1-ABS((MIN(MAX(Inputs!$B$33,0),60)/30)-1))+AK36*MAX(0,(MIN(MAX(Inputs!$B$33,0),60)/30)-1)</f>
        <v>2249100</v>
      </c>
      <c r="AN38" s="50">
        <f>AN37+AM38-(Monthly!S36-Monthly!R36)-AJ38*Monthly!Q36-Monthly!X36-Monthly!Y36</f>
        <v>-7230037.5</v>
      </c>
      <c r="AO38" s="47" t="str">
        <f t="shared" si="4"/>
        <v/>
      </c>
      <c r="AQ38" s="48">
        <f>IF($A38=0,0,IF(OR(Inputs!$B$38&lt;=1,$A38&gt;=Inputs!$B$38),$AT$4,Inputs!$B$36+($AT$4-Inputs!$B$36)*($A38-1)/(Inputs!$B$38-1)))</f>
        <v>0.85</v>
      </c>
      <c r="AR38" s="49">
        <f>ROUNDDOWN(INT(Inputs!$B$7)*AQ38+0.000000001,0)</f>
        <v>170</v>
      </c>
      <c r="AS38" s="50">
        <f>AR38*Monthly!E36*$AR$4</f>
        <v>2474010</v>
      </c>
      <c r="AT38" s="50">
        <f>AS38-(Monthly!S36-Monthly!R36)-AR38*Monthly!Q36</f>
        <v>1013197.5</v>
      </c>
      <c r="AU38" s="50">
        <f>AS38*MAX(0,1-(MIN(MAX(Inputs!$B$33,0),60)/30))+AS37*MAX(0,1-ABS((MIN(MAX(Inputs!$B$33,0),60)/30)-1))+AS36*MAX(0,(MIN(MAX(Inputs!$B$33,0),60)/30)-1)</f>
        <v>2474010</v>
      </c>
      <c r="AV38" s="50">
        <f>AV37+AU38-(Monthly!S36-Monthly!R36)-AR38*Monthly!Q36-Monthly!X36-Monthly!Y36</f>
        <v>-1619722.5</v>
      </c>
      <c r="AW38" s="47" t="str">
        <f t="shared" si="5"/>
        <v/>
      </c>
      <c r="AY38" s="48">
        <f>IF($A38=0,0,IF(OR(Inputs!$B$38&lt;=1,$A38&gt;=Inputs!$B$38),$BB$4,Inputs!$B$36+($BB$4-Inputs!$B$36)*($A38-1)/(Inputs!$B$38-1)))</f>
        <v>0.95</v>
      </c>
      <c r="AZ38" s="49">
        <f>ROUNDDOWN(INT(Inputs!$B$7)*AY38+0.000000001,0)</f>
        <v>190</v>
      </c>
      <c r="BA38" s="50">
        <f>AZ38*Monthly!E36*$AZ$4</f>
        <v>2262330</v>
      </c>
      <c r="BB38" s="50">
        <f>BA38-(Monthly!S36-Monthly!R36)-AZ38*Monthly!Q36</f>
        <v>768442.5</v>
      </c>
      <c r="BC38" s="50">
        <f>BA38*MAX(0,1-(MIN(MAX(Inputs!$B$33,0),60)/30))+BA37*MAX(0,1-ABS((MIN(MAX(Inputs!$B$33,0),60)/30)-1))+BA36*MAX(0,(MIN(MAX(Inputs!$B$33,0),60)/30)-1)</f>
        <v>2262330</v>
      </c>
      <c r="BD38" s="50">
        <f>BD37+BC38-(Monthly!S36-Monthly!R36)-AZ38*Monthly!Q36-Monthly!X36-Monthly!Y36</f>
        <v>-8064367.5</v>
      </c>
      <c r="BE38" s="47" t="str">
        <f t="shared" si="6"/>
        <v/>
      </c>
      <c r="BG38" s="48">
        <f>IF($A38=0,0,IF(OR(Inputs!$B$38&lt;=1,$A38&gt;=Inputs!$B$38),$BJ$4,Inputs!$B$36+($BJ$4-Inputs!$B$36)*($A38-1)/(Inputs!$B$38-1)))</f>
        <v>0.95</v>
      </c>
      <c r="BH38" s="49">
        <f>ROUNDDOWN(INT(Inputs!$B$7)*BG38+0.000000001,0)</f>
        <v>190</v>
      </c>
      <c r="BI38" s="50">
        <f>BH38*Monthly!E36*$BH$4</f>
        <v>2513700</v>
      </c>
      <c r="BJ38" s="50">
        <f>BI38-(Monthly!S36-Monthly!R36)-BH38*Monthly!Q36</f>
        <v>1019812.5</v>
      </c>
      <c r="BK38" s="50">
        <f>BI38*MAX(0,1-(MIN(MAX(Inputs!$B$33,0),60)/30))+BI37*MAX(0,1-ABS((MIN(MAX(Inputs!$B$33,0),60)/30)-1))+BI36*MAX(0,(MIN(MAX(Inputs!$B$33,0),60)/30)-1)</f>
        <v>2513700</v>
      </c>
      <c r="BL38" s="50">
        <f>BL37+BK38-(Monthly!S36-Monthly!R36)-BH38*Monthly!Q36-Monthly!X36-Monthly!Y36</f>
        <v>-1835662.5</v>
      </c>
      <c r="BM38" s="47" t="str">
        <f t="shared" si="7"/>
        <v/>
      </c>
      <c r="BO38" s="48">
        <f>IF($A38=0,0,IF(OR(Inputs!$B$38&lt;=1,$A38&gt;=Inputs!$B$38),$BR$4,Inputs!$B$36+($BR$4-Inputs!$B$36)*($A38-1)/(Inputs!$B$38-1)))</f>
        <v>0.95</v>
      </c>
      <c r="BP38" s="49">
        <f>ROUNDDOWN(INT(Inputs!$B$7)*BO38+0.000000001,0)</f>
        <v>190</v>
      </c>
      <c r="BQ38" s="50">
        <f>BP38*Monthly!E36*$BP$4</f>
        <v>2765070</v>
      </c>
      <c r="BR38" s="50">
        <f>BQ38-(Monthly!S36-Monthly!R36)-BP38*Monthly!Q36</f>
        <v>1271182.5</v>
      </c>
      <c r="BS38" s="50">
        <f>BQ38*MAX(0,1-(MIN(MAX(Inputs!$B$33,0),60)/30))+BQ37*MAX(0,1-ABS((MIN(MAX(Inputs!$B$33,0),60)/30)-1))+BQ36*MAX(0,(MIN(MAX(Inputs!$B$33,0),60)/30)-1)</f>
        <v>2765070</v>
      </c>
      <c r="BT38" s="50">
        <f>BT37+BS38-(Monthly!S36-Monthly!R36)-BP38*Monthly!Q36-Monthly!X36-Monthly!Y36</f>
        <v>4393042.5</v>
      </c>
      <c r="BU38" s="47">
        <f t="shared" si="8"/>
        <v>31</v>
      </c>
    </row>
    <row r="39" spans="1:73" x14ac:dyDescent="0.2">
      <c r="A39" s="56">
        <f>Monthly!A37</f>
        <v>32</v>
      </c>
      <c r="B39" s="56">
        <f>Monthly!B37</f>
        <v>3</v>
      </c>
      <c r="C39" s="48">
        <f>IF($A39=0,0,IF(OR(Inputs!$B$38&lt;=1,$A39&gt;=Inputs!$B$38),$F$4,Inputs!$B$36+($F$4-Inputs!$B$36)*($A39-1)/(Inputs!$B$38-1)))</f>
        <v>0.75</v>
      </c>
      <c r="D39" s="49">
        <f>ROUNDDOWN(INT(Inputs!$B$7)*C39+0.000000001,0)</f>
        <v>150</v>
      </c>
      <c r="E39" s="50">
        <f>D39*Monthly!E37*$D$4</f>
        <v>1786050</v>
      </c>
      <c r="F39" s="50">
        <f>E39-(Monthly!S37-Monthly!R37)-D39*Monthly!Q37</f>
        <v>358312.5</v>
      </c>
      <c r="G39" s="50">
        <f>E39*MAX(0,1-(MIN(MAX(Inputs!$B$33,0),60)/30))+E38*MAX(0,1-ABS((MIN(MAX(Inputs!$B$33,0),60)/30)-1))+E37*MAX(0,(MIN(MAX(Inputs!$B$33,0),60)/30)-1)</f>
        <v>1786050</v>
      </c>
      <c r="H39" s="50">
        <f>H38+G39-(Monthly!S37-Monthly!R37)-D39*Monthly!Q37-Monthly!X37-Monthly!Y37</f>
        <v>-17258025</v>
      </c>
      <c r="I39" s="47" t="str">
        <f t="shared" si="0"/>
        <v/>
      </c>
      <c r="K39" s="48">
        <f>IF($A39=0,0,IF(OR(Inputs!$B$38&lt;=1,$A39&gt;=Inputs!$B$38),$N$4,Inputs!$B$36+($N$4-Inputs!$B$36)*($A39-1)/(Inputs!$B$38-1)))</f>
        <v>0.75</v>
      </c>
      <c r="L39" s="49">
        <f>ROUNDDOWN(INT(Inputs!$B$7)*K39+0.000000001,0)</f>
        <v>150</v>
      </c>
      <c r="M39" s="50">
        <f>L39*Monthly!E37*$L$4</f>
        <v>1984500</v>
      </c>
      <c r="N39" s="50">
        <f>M39-(Monthly!S37-Monthly!R37)-L39*Monthly!Q37</f>
        <v>556762.5</v>
      </c>
      <c r="O39" s="50">
        <f>M39*MAX(0,1-(MIN(MAX(Inputs!$B$33,0),60)/30))+M38*MAX(0,1-ABS((MIN(MAX(Inputs!$B$33,0),60)/30)-1))+M37*MAX(0,(MIN(MAX(Inputs!$B$33,0),60)/30)-1)</f>
        <v>1984500</v>
      </c>
      <c r="P39" s="50">
        <f>P38+O39-(Monthly!S37-Monthly!R37)-L39*Monthly!Q37-Monthly!X37-Monthly!Y37</f>
        <v>-12067650</v>
      </c>
      <c r="Q39" s="47" t="str">
        <f t="shared" si="1"/>
        <v/>
      </c>
      <c r="S39" s="48">
        <f>IF($A39=0,0,IF(OR(Inputs!$B$38&lt;=1,$A39&gt;=Inputs!$B$38),$V$4,Inputs!$B$36+($V$4-Inputs!$B$36)*($A39-1)/(Inputs!$B$38-1)))</f>
        <v>0.75</v>
      </c>
      <c r="T39" s="49">
        <f>ROUNDDOWN(INT(Inputs!$B$7)*S39+0.000000001,0)</f>
        <v>150</v>
      </c>
      <c r="U39" s="50">
        <f>T39*Monthly!E37*$T$4</f>
        <v>2182950</v>
      </c>
      <c r="V39" s="50">
        <f>U39-(Monthly!S37-Monthly!R37)-T39*Monthly!Q37</f>
        <v>755212.5</v>
      </c>
      <c r="W39" s="50">
        <f>U39*MAX(0,1-(MIN(MAX(Inputs!$B$33,0),60)/30))+U38*MAX(0,1-ABS((MIN(MAX(Inputs!$B$33,0),60)/30)-1))+U37*MAX(0,(MIN(MAX(Inputs!$B$33,0),60)/30)-1)</f>
        <v>2182950</v>
      </c>
      <c r="X39" s="50">
        <f>X38+W39-(Monthly!S37-Monthly!R37)-T39*Monthly!Q37-Monthly!X37-Monthly!Y37</f>
        <v>-6877275</v>
      </c>
      <c r="Y39" s="47" t="str">
        <f t="shared" si="2"/>
        <v/>
      </c>
      <c r="AA39" s="48">
        <f>IF($A39=0,0,IF(OR(Inputs!$B$38&lt;=1,$A39&gt;=Inputs!$B$38),$AD$4,Inputs!$B$36+($AD$4-Inputs!$B$36)*($A39-1)/(Inputs!$B$38-1)))</f>
        <v>0.85</v>
      </c>
      <c r="AB39" s="49">
        <f>ROUNDDOWN(INT(Inputs!$B$7)*AA39+0.000000001,0)</f>
        <v>170</v>
      </c>
      <c r="AC39" s="50">
        <f>AB39*Monthly!E37*$AB$4</f>
        <v>2024190</v>
      </c>
      <c r="AD39" s="50">
        <f>AC39-(Monthly!S37-Monthly!R37)-AB39*Monthly!Q37</f>
        <v>563377.5</v>
      </c>
      <c r="AE39" s="50">
        <f>AC39*MAX(0,1-(MIN(MAX(Inputs!$B$33,0),60)/30))+AC38*MAX(0,1-ABS((MIN(MAX(Inputs!$B$33,0),60)/30)-1))+AC37*MAX(0,(MIN(MAX(Inputs!$B$33,0),60)/30)-1)</f>
        <v>2024190</v>
      </c>
      <c r="AF39" s="50">
        <f>AF38+AE39-(Monthly!S37-Monthly!R37)-AB39*Monthly!Q37-Monthly!X37-Monthly!Y37</f>
        <v>-12276975</v>
      </c>
      <c r="AG39" s="47" t="str">
        <f t="shared" si="3"/>
        <v/>
      </c>
      <c r="AI39" s="48">
        <f>IF($A39=0,0,IF(OR(Inputs!$B$38&lt;=1,$A39&gt;=Inputs!$B$38),$AL$4,Inputs!$B$36+($AL$4-Inputs!$B$36)*($A39-1)/(Inputs!$B$38-1)))</f>
        <v>0.85</v>
      </c>
      <c r="AJ39" s="49">
        <f>ROUNDDOWN(INT(Inputs!$B$7)*AI39+0.000000001,0)</f>
        <v>170</v>
      </c>
      <c r="AK39" s="50">
        <f>AJ39*Monthly!E37*$AJ$4</f>
        <v>2249100</v>
      </c>
      <c r="AL39" s="50">
        <f>AK39-(Monthly!S37-Monthly!R37)-AJ39*Monthly!Q37</f>
        <v>788287.5</v>
      </c>
      <c r="AM39" s="50">
        <f>AK39*MAX(0,1-(MIN(MAX(Inputs!$B$33,0),60)/30))+AK38*MAX(0,1-ABS((MIN(MAX(Inputs!$B$33,0),60)/30)-1))+AK37*MAX(0,(MIN(MAX(Inputs!$B$33,0),60)/30)-1)</f>
        <v>2249100</v>
      </c>
      <c r="AN39" s="50">
        <f>AN38+AM39-(Monthly!S37-Monthly!R37)-AJ39*Monthly!Q37-Monthly!X37-Monthly!Y37</f>
        <v>-6441750</v>
      </c>
      <c r="AO39" s="47" t="str">
        <f t="shared" si="4"/>
        <v/>
      </c>
      <c r="AQ39" s="48">
        <f>IF($A39=0,0,IF(OR(Inputs!$B$38&lt;=1,$A39&gt;=Inputs!$B$38),$AT$4,Inputs!$B$36+($AT$4-Inputs!$B$36)*($A39-1)/(Inputs!$B$38-1)))</f>
        <v>0.85</v>
      </c>
      <c r="AR39" s="49">
        <f>ROUNDDOWN(INT(Inputs!$B$7)*AQ39+0.000000001,0)</f>
        <v>170</v>
      </c>
      <c r="AS39" s="50">
        <f>AR39*Monthly!E37*$AR$4</f>
        <v>2474010</v>
      </c>
      <c r="AT39" s="50">
        <f>AS39-(Monthly!S37-Monthly!R37)-AR39*Monthly!Q37</f>
        <v>1013197.5</v>
      </c>
      <c r="AU39" s="50">
        <f>AS39*MAX(0,1-(MIN(MAX(Inputs!$B$33,0),60)/30))+AS38*MAX(0,1-ABS((MIN(MAX(Inputs!$B$33,0),60)/30)-1))+AS37*MAX(0,(MIN(MAX(Inputs!$B$33,0),60)/30)-1)</f>
        <v>2474010</v>
      </c>
      <c r="AV39" s="50">
        <f>AV38+AU39-(Monthly!S37-Monthly!R37)-AR39*Monthly!Q37-Monthly!X37-Monthly!Y37</f>
        <v>-606525</v>
      </c>
      <c r="AW39" s="47" t="str">
        <f t="shared" si="5"/>
        <v/>
      </c>
      <c r="AY39" s="48">
        <f>IF($A39=0,0,IF(OR(Inputs!$B$38&lt;=1,$A39&gt;=Inputs!$B$38),$BB$4,Inputs!$B$36+($BB$4-Inputs!$B$36)*($A39-1)/(Inputs!$B$38-1)))</f>
        <v>0.95</v>
      </c>
      <c r="AZ39" s="49">
        <f>ROUNDDOWN(INT(Inputs!$B$7)*AY39+0.000000001,0)</f>
        <v>190</v>
      </c>
      <c r="BA39" s="50">
        <f>AZ39*Monthly!E37*$AZ$4</f>
        <v>2262330</v>
      </c>
      <c r="BB39" s="50">
        <f>BA39-(Monthly!S37-Monthly!R37)-AZ39*Monthly!Q37</f>
        <v>768442.5</v>
      </c>
      <c r="BC39" s="50">
        <f>BA39*MAX(0,1-(MIN(MAX(Inputs!$B$33,0),60)/30))+BA38*MAX(0,1-ABS((MIN(MAX(Inputs!$B$33,0),60)/30)-1))+BA37*MAX(0,(MIN(MAX(Inputs!$B$33,0),60)/30)-1)</f>
        <v>2262330</v>
      </c>
      <c r="BD39" s="50">
        <f>BD38+BC39-(Monthly!S37-Monthly!R37)-AZ39*Monthly!Q37-Monthly!X37-Monthly!Y37</f>
        <v>-7295925</v>
      </c>
      <c r="BE39" s="47" t="str">
        <f t="shared" si="6"/>
        <v/>
      </c>
      <c r="BG39" s="48">
        <f>IF($A39=0,0,IF(OR(Inputs!$B$38&lt;=1,$A39&gt;=Inputs!$B$38),$BJ$4,Inputs!$B$36+($BJ$4-Inputs!$B$36)*($A39-1)/(Inputs!$B$38-1)))</f>
        <v>0.95</v>
      </c>
      <c r="BH39" s="49">
        <f>ROUNDDOWN(INT(Inputs!$B$7)*BG39+0.000000001,0)</f>
        <v>190</v>
      </c>
      <c r="BI39" s="50">
        <f>BH39*Monthly!E37*$BH$4</f>
        <v>2513700</v>
      </c>
      <c r="BJ39" s="50">
        <f>BI39-(Monthly!S37-Monthly!R37)-BH39*Monthly!Q37</f>
        <v>1019812.5</v>
      </c>
      <c r="BK39" s="50">
        <f>BI39*MAX(0,1-(MIN(MAX(Inputs!$B$33,0),60)/30))+BI38*MAX(0,1-ABS((MIN(MAX(Inputs!$B$33,0),60)/30)-1))+BI37*MAX(0,(MIN(MAX(Inputs!$B$33,0),60)/30)-1)</f>
        <v>2513700</v>
      </c>
      <c r="BL39" s="50">
        <f>BL38+BK39-(Monthly!S37-Monthly!R37)-BH39*Monthly!Q37-Monthly!X37-Monthly!Y37</f>
        <v>-815850</v>
      </c>
      <c r="BM39" s="47" t="str">
        <f t="shared" si="7"/>
        <v/>
      </c>
      <c r="BO39" s="48">
        <f>IF($A39=0,0,IF(OR(Inputs!$B$38&lt;=1,$A39&gt;=Inputs!$B$38),$BR$4,Inputs!$B$36+($BR$4-Inputs!$B$36)*($A39-1)/(Inputs!$B$38-1)))</f>
        <v>0.95</v>
      </c>
      <c r="BP39" s="49">
        <f>ROUNDDOWN(INT(Inputs!$B$7)*BO39+0.000000001,0)</f>
        <v>190</v>
      </c>
      <c r="BQ39" s="50">
        <f>BP39*Monthly!E37*$BP$4</f>
        <v>2765070</v>
      </c>
      <c r="BR39" s="50">
        <f>BQ39-(Monthly!S37-Monthly!R37)-BP39*Monthly!Q37</f>
        <v>1271182.5</v>
      </c>
      <c r="BS39" s="50">
        <f>BQ39*MAX(0,1-(MIN(MAX(Inputs!$B$33,0),60)/30))+BQ38*MAX(0,1-ABS((MIN(MAX(Inputs!$B$33,0),60)/30)-1))+BQ37*MAX(0,(MIN(MAX(Inputs!$B$33,0),60)/30)-1)</f>
        <v>2765070</v>
      </c>
      <c r="BT39" s="50">
        <f>BT38+BS39-(Monthly!S37-Monthly!R37)-BP39*Monthly!Q37-Monthly!X37-Monthly!Y37</f>
        <v>5664225</v>
      </c>
      <c r="BU39" s="47">
        <f t="shared" si="8"/>
        <v>32</v>
      </c>
    </row>
    <row r="40" spans="1:73" x14ac:dyDescent="0.2">
      <c r="A40" s="56">
        <f>Monthly!A38</f>
        <v>33</v>
      </c>
      <c r="B40" s="56">
        <f>Monthly!B38</f>
        <v>3</v>
      </c>
      <c r="C40" s="48">
        <f>IF($A40=0,0,IF(OR(Inputs!$B$38&lt;=1,$A40&gt;=Inputs!$B$38),$F$4,Inputs!$B$36+($F$4-Inputs!$B$36)*($A40-1)/(Inputs!$B$38-1)))</f>
        <v>0.75</v>
      </c>
      <c r="D40" s="49">
        <f>ROUNDDOWN(INT(Inputs!$B$7)*C40+0.000000001,0)</f>
        <v>150</v>
      </c>
      <c r="E40" s="50">
        <f>D40*Monthly!E38*$D$4</f>
        <v>1786050</v>
      </c>
      <c r="F40" s="50">
        <f>E40-(Monthly!S38-Monthly!R38)-D40*Monthly!Q38</f>
        <v>358312.5</v>
      </c>
      <c r="G40" s="50">
        <f>E40*MAX(0,1-(MIN(MAX(Inputs!$B$33,0),60)/30))+E39*MAX(0,1-ABS((MIN(MAX(Inputs!$B$33,0),60)/30)-1))+E38*MAX(0,(MIN(MAX(Inputs!$B$33,0),60)/30)-1)</f>
        <v>1786050</v>
      </c>
      <c r="H40" s="50">
        <f>H39+G40-(Monthly!S38-Monthly!R38)-D40*Monthly!Q38-Monthly!X38-Monthly!Y38</f>
        <v>-16899712.5</v>
      </c>
      <c r="I40" s="47" t="str">
        <f t="shared" si="0"/>
        <v/>
      </c>
      <c r="K40" s="48">
        <f>IF($A40=0,0,IF(OR(Inputs!$B$38&lt;=1,$A40&gt;=Inputs!$B$38),$N$4,Inputs!$B$36+($N$4-Inputs!$B$36)*($A40-1)/(Inputs!$B$38-1)))</f>
        <v>0.75</v>
      </c>
      <c r="L40" s="49">
        <f>ROUNDDOWN(INT(Inputs!$B$7)*K40+0.000000001,0)</f>
        <v>150</v>
      </c>
      <c r="M40" s="50">
        <f>L40*Monthly!E38*$L$4</f>
        <v>1984500</v>
      </c>
      <c r="N40" s="50">
        <f>M40-(Monthly!S38-Monthly!R38)-L40*Monthly!Q38</f>
        <v>556762.5</v>
      </c>
      <c r="O40" s="50">
        <f>M40*MAX(0,1-(MIN(MAX(Inputs!$B$33,0),60)/30))+M39*MAX(0,1-ABS((MIN(MAX(Inputs!$B$33,0),60)/30)-1))+M38*MAX(0,(MIN(MAX(Inputs!$B$33,0),60)/30)-1)</f>
        <v>1984500</v>
      </c>
      <c r="P40" s="50">
        <f>P39+O40-(Monthly!S38-Monthly!R38)-L40*Monthly!Q38-Monthly!X38-Monthly!Y38</f>
        <v>-11510887.5</v>
      </c>
      <c r="Q40" s="47" t="str">
        <f t="shared" si="1"/>
        <v/>
      </c>
      <c r="S40" s="48">
        <f>IF($A40=0,0,IF(OR(Inputs!$B$38&lt;=1,$A40&gt;=Inputs!$B$38),$V$4,Inputs!$B$36+($V$4-Inputs!$B$36)*($A40-1)/(Inputs!$B$38-1)))</f>
        <v>0.75</v>
      </c>
      <c r="T40" s="49">
        <f>ROUNDDOWN(INT(Inputs!$B$7)*S40+0.000000001,0)</f>
        <v>150</v>
      </c>
      <c r="U40" s="50">
        <f>T40*Monthly!E38*$T$4</f>
        <v>2182950</v>
      </c>
      <c r="V40" s="50">
        <f>U40-(Monthly!S38-Monthly!R38)-T40*Monthly!Q38</f>
        <v>755212.5</v>
      </c>
      <c r="W40" s="50">
        <f>U40*MAX(0,1-(MIN(MAX(Inputs!$B$33,0),60)/30))+U39*MAX(0,1-ABS((MIN(MAX(Inputs!$B$33,0),60)/30)-1))+U38*MAX(0,(MIN(MAX(Inputs!$B$33,0),60)/30)-1)</f>
        <v>2182950</v>
      </c>
      <c r="X40" s="50">
        <f>X39+W40-(Monthly!S38-Monthly!R38)-T40*Monthly!Q38-Monthly!X38-Monthly!Y38</f>
        <v>-6122062.5</v>
      </c>
      <c r="Y40" s="47" t="str">
        <f t="shared" si="2"/>
        <v/>
      </c>
      <c r="AA40" s="48">
        <f>IF($A40=0,0,IF(OR(Inputs!$B$38&lt;=1,$A40&gt;=Inputs!$B$38),$AD$4,Inputs!$B$36+($AD$4-Inputs!$B$36)*($A40-1)/(Inputs!$B$38-1)))</f>
        <v>0.85</v>
      </c>
      <c r="AB40" s="49">
        <f>ROUNDDOWN(INT(Inputs!$B$7)*AA40+0.000000001,0)</f>
        <v>170</v>
      </c>
      <c r="AC40" s="50">
        <f>AB40*Monthly!E38*$AB$4</f>
        <v>2024190</v>
      </c>
      <c r="AD40" s="50">
        <f>AC40-(Monthly!S38-Monthly!R38)-AB40*Monthly!Q38</f>
        <v>563377.5</v>
      </c>
      <c r="AE40" s="50">
        <f>AC40*MAX(0,1-(MIN(MAX(Inputs!$B$33,0),60)/30))+AC39*MAX(0,1-ABS((MIN(MAX(Inputs!$B$33,0),60)/30)-1))+AC38*MAX(0,(MIN(MAX(Inputs!$B$33,0),60)/30)-1)</f>
        <v>2024190</v>
      </c>
      <c r="AF40" s="50">
        <f>AF39+AE40-(Monthly!S38-Monthly!R38)-AB40*Monthly!Q38-Monthly!X38-Monthly!Y38</f>
        <v>-11713597.5</v>
      </c>
      <c r="AG40" s="47" t="str">
        <f t="shared" si="3"/>
        <v/>
      </c>
      <c r="AI40" s="48">
        <f>IF($A40=0,0,IF(OR(Inputs!$B$38&lt;=1,$A40&gt;=Inputs!$B$38),$AL$4,Inputs!$B$36+($AL$4-Inputs!$B$36)*($A40-1)/(Inputs!$B$38-1)))</f>
        <v>0.85</v>
      </c>
      <c r="AJ40" s="49">
        <f>ROUNDDOWN(INT(Inputs!$B$7)*AI40+0.000000001,0)</f>
        <v>170</v>
      </c>
      <c r="AK40" s="50">
        <f>AJ40*Monthly!E38*$AJ$4</f>
        <v>2249100</v>
      </c>
      <c r="AL40" s="50">
        <f>AK40-(Monthly!S38-Monthly!R38)-AJ40*Monthly!Q38</f>
        <v>788287.5</v>
      </c>
      <c r="AM40" s="50">
        <f>AK40*MAX(0,1-(MIN(MAX(Inputs!$B$33,0),60)/30))+AK39*MAX(0,1-ABS((MIN(MAX(Inputs!$B$33,0),60)/30)-1))+AK38*MAX(0,(MIN(MAX(Inputs!$B$33,0),60)/30)-1)</f>
        <v>2249100</v>
      </c>
      <c r="AN40" s="50">
        <f>AN39+AM40-(Monthly!S38-Monthly!R38)-AJ40*Monthly!Q38-Monthly!X38-Monthly!Y38</f>
        <v>-5653462.5</v>
      </c>
      <c r="AO40" s="47" t="str">
        <f t="shared" si="4"/>
        <v/>
      </c>
      <c r="AQ40" s="48">
        <f>IF($A40=0,0,IF(OR(Inputs!$B$38&lt;=1,$A40&gt;=Inputs!$B$38),$AT$4,Inputs!$B$36+($AT$4-Inputs!$B$36)*($A40-1)/(Inputs!$B$38-1)))</f>
        <v>0.85</v>
      </c>
      <c r="AR40" s="49">
        <f>ROUNDDOWN(INT(Inputs!$B$7)*AQ40+0.000000001,0)</f>
        <v>170</v>
      </c>
      <c r="AS40" s="50">
        <f>AR40*Monthly!E38*$AR$4</f>
        <v>2474010</v>
      </c>
      <c r="AT40" s="50">
        <f>AS40-(Monthly!S38-Monthly!R38)-AR40*Monthly!Q38</f>
        <v>1013197.5</v>
      </c>
      <c r="AU40" s="50">
        <f>AS40*MAX(0,1-(MIN(MAX(Inputs!$B$33,0),60)/30))+AS39*MAX(0,1-ABS((MIN(MAX(Inputs!$B$33,0),60)/30)-1))+AS38*MAX(0,(MIN(MAX(Inputs!$B$33,0),60)/30)-1)</f>
        <v>2474010</v>
      </c>
      <c r="AV40" s="50">
        <f>AV39+AU40-(Monthly!S38-Monthly!R38)-AR40*Monthly!Q38-Monthly!X38-Monthly!Y38</f>
        <v>406672.5</v>
      </c>
      <c r="AW40" s="47">
        <f t="shared" si="5"/>
        <v>33</v>
      </c>
      <c r="AY40" s="48">
        <f>IF($A40=0,0,IF(OR(Inputs!$B$38&lt;=1,$A40&gt;=Inputs!$B$38),$BB$4,Inputs!$B$36+($BB$4-Inputs!$B$36)*($A40-1)/(Inputs!$B$38-1)))</f>
        <v>0.95</v>
      </c>
      <c r="AZ40" s="49">
        <f>ROUNDDOWN(INT(Inputs!$B$7)*AY40+0.000000001,0)</f>
        <v>190</v>
      </c>
      <c r="BA40" s="50">
        <f>AZ40*Monthly!E38*$AZ$4</f>
        <v>2262330</v>
      </c>
      <c r="BB40" s="50">
        <f>BA40-(Monthly!S38-Monthly!R38)-AZ40*Monthly!Q38</f>
        <v>768442.5</v>
      </c>
      <c r="BC40" s="50">
        <f>BA40*MAX(0,1-(MIN(MAX(Inputs!$B$33,0),60)/30))+BA39*MAX(0,1-ABS((MIN(MAX(Inputs!$B$33,0),60)/30)-1))+BA38*MAX(0,(MIN(MAX(Inputs!$B$33,0),60)/30)-1)</f>
        <v>2262330</v>
      </c>
      <c r="BD40" s="50">
        <f>BD39+BC40-(Monthly!S38-Monthly!R38)-AZ40*Monthly!Q38-Monthly!X38-Monthly!Y38</f>
        <v>-6527482.5</v>
      </c>
      <c r="BE40" s="47" t="str">
        <f t="shared" si="6"/>
        <v/>
      </c>
      <c r="BG40" s="48">
        <f>IF($A40=0,0,IF(OR(Inputs!$B$38&lt;=1,$A40&gt;=Inputs!$B$38),$BJ$4,Inputs!$B$36+($BJ$4-Inputs!$B$36)*($A40-1)/(Inputs!$B$38-1)))</f>
        <v>0.95</v>
      </c>
      <c r="BH40" s="49">
        <f>ROUNDDOWN(INT(Inputs!$B$7)*BG40+0.000000001,0)</f>
        <v>190</v>
      </c>
      <c r="BI40" s="50">
        <f>BH40*Monthly!E38*$BH$4</f>
        <v>2513700</v>
      </c>
      <c r="BJ40" s="50">
        <f>BI40-(Monthly!S38-Monthly!R38)-BH40*Monthly!Q38</f>
        <v>1019812.5</v>
      </c>
      <c r="BK40" s="50">
        <f>BI40*MAX(0,1-(MIN(MAX(Inputs!$B$33,0),60)/30))+BI39*MAX(0,1-ABS((MIN(MAX(Inputs!$B$33,0),60)/30)-1))+BI38*MAX(0,(MIN(MAX(Inputs!$B$33,0),60)/30)-1)</f>
        <v>2513700</v>
      </c>
      <c r="BL40" s="50">
        <f>BL39+BK40-(Monthly!S38-Monthly!R38)-BH40*Monthly!Q38-Monthly!X38-Monthly!Y38</f>
        <v>203962.5</v>
      </c>
      <c r="BM40" s="47">
        <f t="shared" si="7"/>
        <v>33</v>
      </c>
      <c r="BO40" s="48">
        <f>IF($A40=0,0,IF(OR(Inputs!$B$38&lt;=1,$A40&gt;=Inputs!$B$38),$BR$4,Inputs!$B$36+($BR$4-Inputs!$B$36)*($A40-1)/(Inputs!$B$38-1)))</f>
        <v>0.95</v>
      </c>
      <c r="BP40" s="49">
        <f>ROUNDDOWN(INT(Inputs!$B$7)*BO40+0.000000001,0)</f>
        <v>190</v>
      </c>
      <c r="BQ40" s="50">
        <f>BP40*Monthly!E38*$BP$4</f>
        <v>2765070</v>
      </c>
      <c r="BR40" s="50">
        <f>BQ40-(Monthly!S38-Monthly!R38)-BP40*Monthly!Q38</f>
        <v>1271182.5</v>
      </c>
      <c r="BS40" s="50">
        <f>BQ40*MAX(0,1-(MIN(MAX(Inputs!$B$33,0),60)/30))+BQ39*MAX(0,1-ABS((MIN(MAX(Inputs!$B$33,0),60)/30)-1))+BQ38*MAX(0,(MIN(MAX(Inputs!$B$33,0),60)/30)-1)</f>
        <v>2765070</v>
      </c>
      <c r="BT40" s="50">
        <f>BT39+BS40-(Monthly!S38-Monthly!R38)-BP40*Monthly!Q38-Monthly!X38-Monthly!Y38</f>
        <v>6935407.5</v>
      </c>
      <c r="BU40" s="47">
        <f t="shared" si="8"/>
        <v>33</v>
      </c>
    </row>
    <row r="41" spans="1:73" x14ac:dyDescent="0.2">
      <c r="A41" s="56">
        <f>Monthly!A39</f>
        <v>34</v>
      </c>
      <c r="B41" s="56">
        <f>Monthly!B39</f>
        <v>3</v>
      </c>
      <c r="C41" s="48">
        <f>IF($A41=0,0,IF(OR(Inputs!$B$38&lt;=1,$A41&gt;=Inputs!$B$38),$F$4,Inputs!$B$36+($F$4-Inputs!$B$36)*($A41-1)/(Inputs!$B$38-1)))</f>
        <v>0.75</v>
      </c>
      <c r="D41" s="49">
        <f>ROUNDDOWN(INT(Inputs!$B$7)*C41+0.000000001,0)</f>
        <v>150</v>
      </c>
      <c r="E41" s="50">
        <f>D41*Monthly!E39*$D$4</f>
        <v>1786050</v>
      </c>
      <c r="F41" s="50">
        <f>E41-(Monthly!S39-Monthly!R39)-D41*Monthly!Q39</f>
        <v>358312.5</v>
      </c>
      <c r="G41" s="50">
        <f>E41*MAX(0,1-(MIN(MAX(Inputs!$B$33,0),60)/30))+E40*MAX(0,1-ABS((MIN(MAX(Inputs!$B$33,0),60)/30)-1))+E39*MAX(0,(MIN(MAX(Inputs!$B$33,0),60)/30)-1)</f>
        <v>1786050</v>
      </c>
      <c r="H41" s="50">
        <f>H40+G41-(Monthly!S39-Monthly!R39)-D41*Monthly!Q39-Monthly!X39-Monthly!Y39</f>
        <v>-16541400</v>
      </c>
      <c r="I41" s="47" t="str">
        <f t="shared" si="0"/>
        <v/>
      </c>
      <c r="K41" s="48">
        <f>IF($A41=0,0,IF(OR(Inputs!$B$38&lt;=1,$A41&gt;=Inputs!$B$38),$N$4,Inputs!$B$36+($N$4-Inputs!$B$36)*($A41-1)/(Inputs!$B$38-1)))</f>
        <v>0.75</v>
      </c>
      <c r="L41" s="49">
        <f>ROUNDDOWN(INT(Inputs!$B$7)*K41+0.000000001,0)</f>
        <v>150</v>
      </c>
      <c r="M41" s="50">
        <f>L41*Monthly!E39*$L$4</f>
        <v>1984500</v>
      </c>
      <c r="N41" s="50">
        <f>M41-(Monthly!S39-Monthly!R39)-L41*Monthly!Q39</f>
        <v>556762.5</v>
      </c>
      <c r="O41" s="50">
        <f>M41*MAX(0,1-(MIN(MAX(Inputs!$B$33,0),60)/30))+M40*MAX(0,1-ABS((MIN(MAX(Inputs!$B$33,0),60)/30)-1))+M39*MAX(0,(MIN(MAX(Inputs!$B$33,0),60)/30)-1)</f>
        <v>1984500</v>
      </c>
      <c r="P41" s="50">
        <f>P40+O41-(Monthly!S39-Monthly!R39)-L41*Monthly!Q39-Monthly!X39-Monthly!Y39</f>
        <v>-10954125</v>
      </c>
      <c r="Q41" s="47" t="str">
        <f t="shared" si="1"/>
        <v/>
      </c>
      <c r="S41" s="48">
        <f>IF($A41=0,0,IF(OR(Inputs!$B$38&lt;=1,$A41&gt;=Inputs!$B$38),$V$4,Inputs!$B$36+($V$4-Inputs!$B$36)*($A41-1)/(Inputs!$B$38-1)))</f>
        <v>0.75</v>
      </c>
      <c r="T41" s="49">
        <f>ROUNDDOWN(INT(Inputs!$B$7)*S41+0.000000001,0)</f>
        <v>150</v>
      </c>
      <c r="U41" s="50">
        <f>T41*Monthly!E39*$T$4</f>
        <v>2182950</v>
      </c>
      <c r="V41" s="50">
        <f>U41-(Monthly!S39-Monthly!R39)-T41*Monthly!Q39</f>
        <v>755212.5</v>
      </c>
      <c r="W41" s="50">
        <f>U41*MAX(0,1-(MIN(MAX(Inputs!$B$33,0),60)/30))+U40*MAX(0,1-ABS((MIN(MAX(Inputs!$B$33,0),60)/30)-1))+U39*MAX(0,(MIN(MAX(Inputs!$B$33,0),60)/30)-1)</f>
        <v>2182950</v>
      </c>
      <c r="X41" s="50">
        <f>X40+W41-(Monthly!S39-Monthly!R39)-T41*Monthly!Q39-Monthly!X39-Monthly!Y39</f>
        <v>-5366850</v>
      </c>
      <c r="Y41" s="47" t="str">
        <f t="shared" si="2"/>
        <v/>
      </c>
      <c r="AA41" s="48">
        <f>IF($A41=0,0,IF(OR(Inputs!$B$38&lt;=1,$A41&gt;=Inputs!$B$38),$AD$4,Inputs!$B$36+($AD$4-Inputs!$B$36)*($A41-1)/(Inputs!$B$38-1)))</f>
        <v>0.85</v>
      </c>
      <c r="AB41" s="49">
        <f>ROUNDDOWN(INT(Inputs!$B$7)*AA41+0.000000001,0)</f>
        <v>170</v>
      </c>
      <c r="AC41" s="50">
        <f>AB41*Monthly!E39*$AB$4</f>
        <v>2024190</v>
      </c>
      <c r="AD41" s="50">
        <f>AC41-(Monthly!S39-Monthly!R39)-AB41*Monthly!Q39</f>
        <v>563377.5</v>
      </c>
      <c r="AE41" s="50">
        <f>AC41*MAX(0,1-(MIN(MAX(Inputs!$B$33,0),60)/30))+AC40*MAX(0,1-ABS((MIN(MAX(Inputs!$B$33,0),60)/30)-1))+AC39*MAX(0,(MIN(MAX(Inputs!$B$33,0),60)/30)-1)</f>
        <v>2024190</v>
      </c>
      <c r="AF41" s="50">
        <f>AF40+AE41-(Monthly!S39-Monthly!R39)-AB41*Monthly!Q39-Monthly!X39-Monthly!Y39</f>
        <v>-11150220</v>
      </c>
      <c r="AG41" s="47" t="str">
        <f t="shared" si="3"/>
        <v/>
      </c>
      <c r="AI41" s="48">
        <f>IF($A41=0,0,IF(OR(Inputs!$B$38&lt;=1,$A41&gt;=Inputs!$B$38),$AL$4,Inputs!$B$36+($AL$4-Inputs!$B$36)*($A41-1)/(Inputs!$B$38-1)))</f>
        <v>0.85</v>
      </c>
      <c r="AJ41" s="49">
        <f>ROUNDDOWN(INT(Inputs!$B$7)*AI41+0.000000001,0)</f>
        <v>170</v>
      </c>
      <c r="AK41" s="50">
        <f>AJ41*Monthly!E39*$AJ$4</f>
        <v>2249100</v>
      </c>
      <c r="AL41" s="50">
        <f>AK41-(Monthly!S39-Monthly!R39)-AJ41*Monthly!Q39</f>
        <v>788287.5</v>
      </c>
      <c r="AM41" s="50">
        <f>AK41*MAX(0,1-(MIN(MAX(Inputs!$B$33,0),60)/30))+AK40*MAX(0,1-ABS((MIN(MAX(Inputs!$B$33,0),60)/30)-1))+AK39*MAX(0,(MIN(MAX(Inputs!$B$33,0),60)/30)-1)</f>
        <v>2249100</v>
      </c>
      <c r="AN41" s="50">
        <f>AN40+AM41-(Monthly!S39-Monthly!R39)-AJ41*Monthly!Q39-Monthly!X39-Monthly!Y39</f>
        <v>-4865175</v>
      </c>
      <c r="AO41" s="47" t="str">
        <f t="shared" si="4"/>
        <v/>
      </c>
      <c r="AQ41" s="48">
        <f>IF($A41=0,0,IF(OR(Inputs!$B$38&lt;=1,$A41&gt;=Inputs!$B$38),$AT$4,Inputs!$B$36+($AT$4-Inputs!$B$36)*($A41-1)/(Inputs!$B$38-1)))</f>
        <v>0.85</v>
      </c>
      <c r="AR41" s="49">
        <f>ROUNDDOWN(INT(Inputs!$B$7)*AQ41+0.000000001,0)</f>
        <v>170</v>
      </c>
      <c r="AS41" s="50">
        <f>AR41*Monthly!E39*$AR$4</f>
        <v>2474010</v>
      </c>
      <c r="AT41" s="50">
        <f>AS41-(Monthly!S39-Monthly!R39)-AR41*Monthly!Q39</f>
        <v>1013197.5</v>
      </c>
      <c r="AU41" s="50">
        <f>AS41*MAX(0,1-(MIN(MAX(Inputs!$B$33,0),60)/30))+AS40*MAX(0,1-ABS((MIN(MAX(Inputs!$B$33,0),60)/30)-1))+AS39*MAX(0,(MIN(MAX(Inputs!$B$33,0),60)/30)-1)</f>
        <v>2474010</v>
      </c>
      <c r="AV41" s="50">
        <f>AV40+AU41-(Monthly!S39-Monthly!R39)-AR41*Monthly!Q39-Monthly!X39-Monthly!Y39</f>
        <v>1419870</v>
      </c>
      <c r="AW41" s="47">
        <f t="shared" si="5"/>
        <v>34</v>
      </c>
      <c r="AY41" s="48">
        <f>IF($A41=0,0,IF(OR(Inputs!$B$38&lt;=1,$A41&gt;=Inputs!$B$38),$BB$4,Inputs!$B$36+($BB$4-Inputs!$B$36)*($A41-1)/(Inputs!$B$38-1)))</f>
        <v>0.95</v>
      </c>
      <c r="AZ41" s="49">
        <f>ROUNDDOWN(INT(Inputs!$B$7)*AY41+0.000000001,0)</f>
        <v>190</v>
      </c>
      <c r="BA41" s="50">
        <f>AZ41*Monthly!E39*$AZ$4</f>
        <v>2262330</v>
      </c>
      <c r="BB41" s="50">
        <f>BA41-(Monthly!S39-Monthly!R39)-AZ41*Monthly!Q39</f>
        <v>768442.5</v>
      </c>
      <c r="BC41" s="50">
        <f>BA41*MAX(0,1-(MIN(MAX(Inputs!$B$33,0),60)/30))+BA40*MAX(0,1-ABS((MIN(MAX(Inputs!$B$33,0),60)/30)-1))+BA39*MAX(0,(MIN(MAX(Inputs!$B$33,0),60)/30)-1)</f>
        <v>2262330</v>
      </c>
      <c r="BD41" s="50">
        <f>BD40+BC41-(Monthly!S39-Monthly!R39)-AZ41*Monthly!Q39-Monthly!X39-Monthly!Y39</f>
        <v>-5759040</v>
      </c>
      <c r="BE41" s="47" t="str">
        <f t="shared" si="6"/>
        <v/>
      </c>
      <c r="BG41" s="48">
        <f>IF($A41=0,0,IF(OR(Inputs!$B$38&lt;=1,$A41&gt;=Inputs!$B$38),$BJ$4,Inputs!$B$36+($BJ$4-Inputs!$B$36)*($A41-1)/(Inputs!$B$38-1)))</f>
        <v>0.95</v>
      </c>
      <c r="BH41" s="49">
        <f>ROUNDDOWN(INT(Inputs!$B$7)*BG41+0.000000001,0)</f>
        <v>190</v>
      </c>
      <c r="BI41" s="50">
        <f>BH41*Monthly!E39*$BH$4</f>
        <v>2513700</v>
      </c>
      <c r="BJ41" s="50">
        <f>BI41-(Monthly!S39-Monthly!R39)-BH41*Monthly!Q39</f>
        <v>1019812.5</v>
      </c>
      <c r="BK41" s="50">
        <f>BI41*MAX(0,1-(MIN(MAX(Inputs!$B$33,0),60)/30))+BI40*MAX(0,1-ABS((MIN(MAX(Inputs!$B$33,0),60)/30)-1))+BI39*MAX(0,(MIN(MAX(Inputs!$B$33,0),60)/30)-1)</f>
        <v>2513700</v>
      </c>
      <c r="BL41" s="50">
        <f>BL40+BK41-(Monthly!S39-Monthly!R39)-BH41*Monthly!Q39-Monthly!X39-Monthly!Y39</f>
        <v>1223775</v>
      </c>
      <c r="BM41" s="47">
        <f t="shared" si="7"/>
        <v>34</v>
      </c>
      <c r="BO41" s="48">
        <f>IF($A41=0,0,IF(OR(Inputs!$B$38&lt;=1,$A41&gt;=Inputs!$B$38),$BR$4,Inputs!$B$36+($BR$4-Inputs!$B$36)*($A41-1)/(Inputs!$B$38-1)))</f>
        <v>0.95</v>
      </c>
      <c r="BP41" s="49">
        <f>ROUNDDOWN(INT(Inputs!$B$7)*BO41+0.000000001,0)</f>
        <v>190</v>
      </c>
      <c r="BQ41" s="50">
        <f>BP41*Monthly!E39*$BP$4</f>
        <v>2765070</v>
      </c>
      <c r="BR41" s="50">
        <f>BQ41-(Monthly!S39-Monthly!R39)-BP41*Monthly!Q39</f>
        <v>1271182.5</v>
      </c>
      <c r="BS41" s="50">
        <f>BQ41*MAX(0,1-(MIN(MAX(Inputs!$B$33,0),60)/30))+BQ40*MAX(0,1-ABS((MIN(MAX(Inputs!$B$33,0),60)/30)-1))+BQ39*MAX(0,(MIN(MAX(Inputs!$B$33,0),60)/30)-1)</f>
        <v>2765070</v>
      </c>
      <c r="BT41" s="50">
        <f>BT40+BS41-(Monthly!S39-Monthly!R39)-BP41*Monthly!Q39-Monthly!X39-Monthly!Y39</f>
        <v>8206590</v>
      </c>
      <c r="BU41" s="47">
        <f t="shared" si="8"/>
        <v>34</v>
      </c>
    </row>
    <row r="42" spans="1:73" x14ac:dyDescent="0.2">
      <c r="A42" s="56">
        <f>Monthly!A40</f>
        <v>35</v>
      </c>
      <c r="B42" s="56">
        <f>Monthly!B40</f>
        <v>3</v>
      </c>
      <c r="C42" s="48">
        <f>IF($A42=0,0,IF(OR(Inputs!$B$38&lt;=1,$A42&gt;=Inputs!$B$38),$F$4,Inputs!$B$36+($F$4-Inputs!$B$36)*($A42-1)/(Inputs!$B$38-1)))</f>
        <v>0.75</v>
      </c>
      <c r="D42" s="49">
        <f>ROUNDDOWN(INT(Inputs!$B$7)*C42+0.000000001,0)</f>
        <v>150</v>
      </c>
      <c r="E42" s="50">
        <f>D42*Monthly!E40*$D$4</f>
        <v>1786050</v>
      </c>
      <c r="F42" s="50">
        <f>E42-(Monthly!S40-Monthly!R40)-D42*Monthly!Q40</f>
        <v>358312.5</v>
      </c>
      <c r="G42" s="50">
        <f>E42*MAX(0,1-(MIN(MAX(Inputs!$B$33,0),60)/30))+E41*MAX(0,1-ABS((MIN(MAX(Inputs!$B$33,0),60)/30)-1))+E40*MAX(0,(MIN(MAX(Inputs!$B$33,0),60)/30)-1)</f>
        <v>1786050</v>
      </c>
      <c r="H42" s="50">
        <f>H41+G42-(Monthly!S40-Monthly!R40)-D42*Monthly!Q40-Monthly!X40-Monthly!Y40</f>
        <v>-16183087.5</v>
      </c>
      <c r="I42" s="47" t="str">
        <f t="shared" si="0"/>
        <v/>
      </c>
      <c r="K42" s="48">
        <f>IF($A42=0,0,IF(OR(Inputs!$B$38&lt;=1,$A42&gt;=Inputs!$B$38),$N$4,Inputs!$B$36+($N$4-Inputs!$B$36)*($A42-1)/(Inputs!$B$38-1)))</f>
        <v>0.75</v>
      </c>
      <c r="L42" s="49">
        <f>ROUNDDOWN(INT(Inputs!$B$7)*K42+0.000000001,0)</f>
        <v>150</v>
      </c>
      <c r="M42" s="50">
        <f>L42*Monthly!E40*$L$4</f>
        <v>1984500</v>
      </c>
      <c r="N42" s="50">
        <f>M42-(Monthly!S40-Monthly!R40)-L42*Monthly!Q40</f>
        <v>556762.5</v>
      </c>
      <c r="O42" s="50">
        <f>M42*MAX(0,1-(MIN(MAX(Inputs!$B$33,0),60)/30))+M41*MAX(0,1-ABS((MIN(MAX(Inputs!$B$33,0),60)/30)-1))+M40*MAX(0,(MIN(MAX(Inputs!$B$33,0),60)/30)-1)</f>
        <v>1984500</v>
      </c>
      <c r="P42" s="50">
        <f>P41+O42-(Monthly!S40-Monthly!R40)-L42*Monthly!Q40-Monthly!X40-Monthly!Y40</f>
        <v>-10397362.5</v>
      </c>
      <c r="Q42" s="47" t="str">
        <f t="shared" si="1"/>
        <v/>
      </c>
      <c r="S42" s="48">
        <f>IF($A42=0,0,IF(OR(Inputs!$B$38&lt;=1,$A42&gt;=Inputs!$B$38),$V$4,Inputs!$B$36+($V$4-Inputs!$B$36)*($A42-1)/(Inputs!$B$38-1)))</f>
        <v>0.75</v>
      </c>
      <c r="T42" s="49">
        <f>ROUNDDOWN(INT(Inputs!$B$7)*S42+0.000000001,0)</f>
        <v>150</v>
      </c>
      <c r="U42" s="50">
        <f>T42*Monthly!E40*$T$4</f>
        <v>2182950</v>
      </c>
      <c r="V42" s="50">
        <f>U42-(Monthly!S40-Monthly!R40)-T42*Monthly!Q40</f>
        <v>755212.5</v>
      </c>
      <c r="W42" s="50">
        <f>U42*MAX(0,1-(MIN(MAX(Inputs!$B$33,0),60)/30))+U41*MAX(0,1-ABS((MIN(MAX(Inputs!$B$33,0),60)/30)-1))+U40*MAX(0,(MIN(MAX(Inputs!$B$33,0),60)/30)-1)</f>
        <v>2182950</v>
      </c>
      <c r="X42" s="50">
        <f>X41+W42-(Monthly!S40-Monthly!R40)-T42*Monthly!Q40-Monthly!X40-Monthly!Y40</f>
        <v>-4611637.5</v>
      </c>
      <c r="Y42" s="47" t="str">
        <f t="shared" si="2"/>
        <v/>
      </c>
      <c r="AA42" s="48">
        <f>IF($A42=0,0,IF(OR(Inputs!$B$38&lt;=1,$A42&gt;=Inputs!$B$38),$AD$4,Inputs!$B$36+($AD$4-Inputs!$B$36)*($A42-1)/(Inputs!$B$38-1)))</f>
        <v>0.85</v>
      </c>
      <c r="AB42" s="49">
        <f>ROUNDDOWN(INT(Inputs!$B$7)*AA42+0.000000001,0)</f>
        <v>170</v>
      </c>
      <c r="AC42" s="50">
        <f>AB42*Monthly!E40*$AB$4</f>
        <v>2024190</v>
      </c>
      <c r="AD42" s="50">
        <f>AC42-(Monthly!S40-Monthly!R40)-AB42*Monthly!Q40</f>
        <v>563377.5</v>
      </c>
      <c r="AE42" s="50">
        <f>AC42*MAX(0,1-(MIN(MAX(Inputs!$B$33,0),60)/30))+AC41*MAX(0,1-ABS((MIN(MAX(Inputs!$B$33,0),60)/30)-1))+AC40*MAX(0,(MIN(MAX(Inputs!$B$33,0),60)/30)-1)</f>
        <v>2024190</v>
      </c>
      <c r="AF42" s="50">
        <f>AF41+AE42-(Monthly!S40-Monthly!R40)-AB42*Monthly!Q40-Monthly!X40-Monthly!Y40</f>
        <v>-10586842.5</v>
      </c>
      <c r="AG42" s="47" t="str">
        <f t="shared" si="3"/>
        <v/>
      </c>
      <c r="AI42" s="48">
        <f>IF($A42=0,0,IF(OR(Inputs!$B$38&lt;=1,$A42&gt;=Inputs!$B$38),$AL$4,Inputs!$B$36+($AL$4-Inputs!$B$36)*($A42-1)/(Inputs!$B$38-1)))</f>
        <v>0.85</v>
      </c>
      <c r="AJ42" s="49">
        <f>ROUNDDOWN(INT(Inputs!$B$7)*AI42+0.000000001,0)</f>
        <v>170</v>
      </c>
      <c r="AK42" s="50">
        <f>AJ42*Monthly!E40*$AJ$4</f>
        <v>2249100</v>
      </c>
      <c r="AL42" s="50">
        <f>AK42-(Monthly!S40-Monthly!R40)-AJ42*Monthly!Q40</f>
        <v>788287.5</v>
      </c>
      <c r="AM42" s="50">
        <f>AK42*MAX(0,1-(MIN(MAX(Inputs!$B$33,0),60)/30))+AK41*MAX(0,1-ABS((MIN(MAX(Inputs!$B$33,0),60)/30)-1))+AK40*MAX(0,(MIN(MAX(Inputs!$B$33,0),60)/30)-1)</f>
        <v>2249100</v>
      </c>
      <c r="AN42" s="50">
        <f>AN41+AM42-(Monthly!S40-Monthly!R40)-AJ42*Monthly!Q40-Monthly!X40-Monthly!Y40</f>
        <v>-4076887.5</v>
      </c>
      <c r="AO42" s="47" t="str">
        <f t="shared" si="4"/>
        <v/>
      </c>
      <c r="AQ42" s="48">
        <f>IF($A42=0,0,IF(OR(Inputs!$B$38&lt;=1,$A42&gt;=Inputs!$B$38),$AT$4,Inputs!$B$36+($AT$4-Inputs!$B$36)*($A42-1)/(Inputs!$B$38-1)))</f>
        <v>0.85</v>
      </c>
      <c r="AR42" s="49">
        <f>ROUNDDOWN(INT(Inputs!$B$7)*AQ42+0.000000001,0)</f>
        <v>170</v>
      </c>
      <c r="AS42" s="50">
        <f>AR42*Monthly!E40*$AR$4</f>
        <v>2474010</v>
      </c>
      <c r="AT42" s="50">
        <f>AS42-(Monthly!S40-Monthly!R40)-AR42*Monthly!Q40</f>
        <v>1013197.5</v>
      </c>
      <c r="AU42" s="50">
        <f>AS42*MAX(0,1-(MIN(MAX(Inputs!$B$33,0),60)/30))+AS41*MAX(0,1-ABS((MIN(MAX(Inputs!$B$33,0),60)/30)-1))+AS40*MAX(0,(MIN(MAX(Inputs!$B$33,0),60)/30)-1)</f>
        <v>2474010</v>
      </c>
      <c r="AV42" s="50">
        <f>AV41+AU42-(Monthly!S40-Monthly!R40)-AR42*Monthly!Q40-Monthly!X40-Monthly!Y40</f>
        <v>2433067.5</v>
      </c>
      <c r="AW42" s="47">
        <f t="shared" si="5"/>
        <v>35</v>
      </c>
      <c r="AY42" s="48">
        <f>IF($A42=0,0,IF(OR(Inputs!$B$38&lt;=1,$A42&gt;=Inputs!$B$38),$BB$4,Inputs!$B$36+($BB$4-Inputs!$B$36)*($A42-1)/(Inputs!$B$38-1)))</f>
        <v>0.95</v>
      </c>
      <c r="AZ42" s="49">
        <f>ROUNDDOWN(INT(Inputs!$B$7)*AY42+0.000000001,0)</f>
        <v>190</v>
      </c>
      <c r="BA42" s="50">
        <f>AZ42*Monthly!E40*$AZ$4</f>
        <v>2262330</v>
      </c>
      <c r="BB42" s="50">
        <f>BA42-(Monthly!S40-Monthly!R40)-AZ42*Monthly!Q40</f>
        <v>768442.5</v>
      </c>
      <c r="BC42" s="50">
        <f>BA42*MAX(0,1-(MIN(MAX(Inputs!$B$33,0),60)/30))+BA41*MAX(0,1-ABS((MIN(MAX(Inputs!$B$33,0),60)/30)-1))+BA40*MAX(0,(MIN(MAX(Inputs!$B$33,0),60)/30)-1)</f>
        <v>2262330</v>
      </c>
      <c r="BD42" s="50">
        <f>BD41+BC42-(Monthly!S40-Monthly!R40)-AZ42*Monthly!Q40-Monthly!X40-Monthly!Y40</f>
        <v>-4990597.5</v>
      </c>
      <c r="BE42" s="47" t="str">
        <f t="shared" si="6"/>
        <v/>
      </c>
      <c r="BG42" s="48">
        <f>IF($A42=0,0,IF(OR(Inputs!$B$38&lt;=1,$A42&gt;=Inputs!$B$38),$BJ$4,Inputs!$B$36+($BJ$4-Inputs!$B$36)*($A42-1)/(Inputs!$B$38-1)))</f>
        <v>0.95</v>
      </c>
      <c r="BH42" s="49">
        <f>ROUNDDOWN(INT(Inputs!$B$7)*BG42+0.000000001,0)</f>
        <v>190</v>
      </c>
      <c r="BI42" s="50">
        <f>BH42*Monthly!E40*$BH$4</f>
        <v>2513700</v>
      </c>
      <c r="BJ42" s="50">
        <f>BI42-(Monthly!S40-Monthly!R40)-BH42*Monthly!Q40</f>
        <v>1019812.5</v>
      </c>
      <c r="BK42" s="50">
        <f>BI42*MAX(0,1-(MIN(MAX(Inputs!$B$33,0),60)/30))+BI41*MAX(0,1-ABS((MIN(MAX(Inputs!$B$33,0),60)/30)-1))+BI40*MAX(0,(MIN(MAX(Inputs!$B$33,0),60)/30)-1)</f>
        <v>2513700</v>
      </c>
      <c r="BL42" s="50">
        <f>BL41+BK42-(Monthly!S40-Monthly!R40)-BH42*Monthly!Q40-Monthly!X40-Monthly!Y40</f>
        <v>2243587.5</v>
      </c>
      <c r="BM42" s="47">
        <f t="shared" si="7"/>
        <v>35</v>
      </c>
      <c r="BO42" s="48">
        <f>IF($A42=0,0,IF(OR(Inputs!$B$38&lt;=1,$A42&gt;=Inputs!$B$38),$BR$4,Inputs!$B$36+($BR$4-Inputs!$B$36)*($A42-1)/(Inputs!$B$38-1)))</f>
        <v>0.95</v>
      </c>
      <c r="BP42" s="49">
        <f>ROUNDDOWN(INT(Inputs!$B$7)*BO42+0.000000001,0)</f>
        <v>190</v>
      </c>
      <c r="BQ42" s="50">
        <f>BP42*Monthly!E40*$BP$4</f>
        <v>2765070</v>
      </c>
      <c r="BR42" s="50">
        <f>BQ42-(Monthly!S40-Monthly!R40)-BP42*Monthly!Q40</f>
        <v>1271182.5</v>
      </c>
      <c r="BS42" s="50">
        <f>BQ42*MAX(0,1-(MIN(MAX(Inputs!$B$33,0),60)/30))+BQ41*MAX(0,1-ABS((MIN(MAX(Inputs!$B$33,0),60)/30)-1))+BQ40*MAX(0,(MIN(MAX(Inputs!$B$33,0),60)/30)-1)</f>
        <v>2765070</v>
      </c>
      <c r="BT42" s="50">
        <f>BT41+BS42-(Monthly!S40-Monthly!R40)-BP42*Monthly!Q40-Monthly!X40-Monthly!Y40</f>
        <v>9477772.5</v>
      </c>
      <c r="BU42" s="47">
        <f t="shared" si="8"/>
        <v>35</v>
      </c>
    </row>
    <row r="43" spans="1:73" x14ac:dyDescent="0.2">
      <c r="A43" s="56">
        <f>Monthly!A41</f>
        <v>36</v>
      </c>
      <c r="B43" s="56">
        <f>Monthly!B41</f>
        <v>3</v>
      </c>
      <c r="C43" s="48">
        <f>IF($A43=0,0,IF(OR(Inputs!$B$38&lt;=1,$A43&gt;=Inputs!$B$38),$F$4,Inputs!$B$36+($F$4-Inputs!$B$36)*($A43-1)/(Inputs!$B$38-1)))</f>
        <v>0.75</v>
      </c>
      <c r="D43" s="49">
        <f>ROUNDDOWN(INT(Inputs!$B$7)*C43+0.000000001,0)</f>
        <v>150</v>
      </c>
      <c r="E43" s="50">
        <f>D43*Monthly!E41*$D$4</f>
        <v>1786050</v>
      </c>
      <c r="F43" s="50">
        <f>E43-(Monthly!S41-Monthly!R41)-D43*Monthly!Q41</f>
        <v>358312.5</v>
      </c>
      <c r="G43" s="50">
        <f>E43*MAX(0,1-(MIN(MAX(Inputs!$B$33,0),60)/30))+E42*MAX(0,1-ABS((MIN(MAX(Inputs!$B$33,0),60)/30)-1))+E41*MAX(0,(MIN(MAX(Inputs!$B$33,0),60)/30)-1)</f>
        <v>1786050</v>
      </c>
      <c r="H43" s="50">
        <f>H42+G43-(Monthly!S41-Monthly!R41)-D43*Monthly!Q41-Monthly!X41-Monthly!Y41</f>
        <v>-15824775</v>
      </c>
      <c r="I43" s="47" t="str">
        <f t="shared" si="0"/>
        <v/>
      </c>
      <c r="K43" s="48">
        <f>IF($A43=0,0,IF(OR(Inputs!$B$38&lt;=1,$A43&gt;=Inputs!$B$38),$N$4,Inputs!$B$36+($N$4-Inputs!$B$36)*($A43-1)/(Inputs!$B$38-1)))</f>
        <v>0.75</v>
      </c>
      <c r="L43" s="49">
        <f>ROUNDDOWN(INT(Inputs!$B$7)*K43+0.000000001,0)</f>
        <v>150</v>
      </c>
      <c r="M43" s="50">
        <f>L43*Monthly!E41*$L$4</f>
        <v>1984500</v>
      </c>
      <c r="N43" s="50">
        <f>M43-(Monthly!S41-Monthly!R41)-L43*Monthly!Q41</f>
        <v>556762.5</v>
      </c>
      <c r="O43" s="50">
        <f>M43*MAX(0,1-(MIN(MAX(Inputs!$B$33,0),60)/30))+M42*MAX(0,1-ABS((MIN(MAX(Inputs!$B$33,0),60)/30)-1))+M41*MAX(0,(MIN(MAX(Inputs!$B$33,0),60)/30)-1)</f>
        <v>1984500</v>
      </c>
      <c r="P43" s="50">
        <f>P42+O43-(Monthly!S41-Monthly!R41)-L43*Monthly!Q41-Monthly!X41-Monthly!Y41</f>
        <v>-9840600</v>
      </c>
      <c r="Q43" s="47" t="str">
        <f t="shared" si="1"/>
        <v/>
      </c>
      <c r="S43" s="48">
        <f>IF($A43=0,0,IF(OR(Inputs!$B$38&lt;=1,$A43&gt;=Inputs!$B$38),$V$4,Inputs!$B$36+($V$4-Inputs!$B$36)*($A43-1)/(Inputs!$B$38-1)))</f>
        <v>0.75</v>
      </c>
      <c r="T43" s="49">
        <f>ROUNDDOWN(INT(Inputs!$B$7)*S43+0.000000001,0)</f>
        <v>150</v>
      </c>
      <c r="U43" s="50">
        <f>T43*Monthly!E41*$T$4</f>
        <v>2182950</v>
      </c>
      <c r="V43" s="50">
        <f>U43-(Monthly!S41-Monthly!R41)-T43*Monthly!Q41</f>
        <v>755212.5</v>
      </c>
      <c r="W43" s="50">
        <f>U43*MAX(0,1-(MIN(MAX(Inputs!$B$33,0),60)/30))+U42*MAX(0,1-ABS((MIN(MAX(Inputs!$B$33,0),60)/30)-1))+U41*MAX(0,(MIN(MAX(Inputs!$B$33,0),60)/30)-1)</f>
        <v>2182950</v>
      </c>
      <c r="X43" s="50">
        <f>X42+W43-(Monthly!S41-Monthly!R41)-T43*Monthly!Q41-Monthly!X41-Monthly!Y41</f>
        <v>-3856425</v>
      </c>
      <c r="Y43" s="47" t="str">
        <f t="shared" si="2"/>
        <v/>
      </c>
      <c r="AA43" s="48">
        <f>IF($A43=0,0,IF(OR(Inputs!$B$38&lt;=1,$A43&gt;=Inputs!$B$38),$AD$4,Inputs!$B$36+($AD$4-Inputs!$B$36)*($A43-1)/(Inputs!$B$38-1)))</f>
        <v>0.85</v>
      </c>
      <c r="AB43" s="49">
        <f>ROUNDDOWN(INT(Inputs!$B$7)*AA43+0.000000001,0)</f>
        <v>170</v>
      </c>
      <c r="AC43" s="50">
        <f>AB43*Monthly!E41*$AB$4</f>
        <v>2024190</v>
      </c>
      <c r="AD43" s="50">
        <f>AC43-(Monthly!S41-Monthly!R41)-AB43*Monthly!Q41</f>
        <v>563377.5</v>
      </c>
      <c r="AE43" s="50">
        <f>AC43*MAX(0,1-(MIN(MAX(Inputs!$B$33,0),60)/30))+AC42*MAX(0,1-ABS((MIN(MAX(Inputs!$B$33,0),60)/30)-1))+AC41*MAX(0,(MIN(MAX(Inputs!$B$33,0),60)/30)-1)</f>
        <v>2024190</v>
      </c>
      <c r="AF43" s="50">
        <f>AF42+AE43-(Monthly!S41-Monthly!R41)-AB43*Monthly!Q41-Monthly!X41-Monthly!Y41</f>
        <v>-10023465</v>
      </c>
      <c r="AG43" s="47" t="str">
        <f t="shared" si="3"/>
        <v/>
      </c>
      <c r="AI43" s="48">
        <f>IF($A43=0,0,IF(OR(Inputs!$B$38&lt;=1,$A43&gt;=Inputs!$B$38),$AL$4,Inputs!$B$36+($AL$4-Inputs!$B$36)*($A43-1)/(Inputs!$B$38-1)))</f>
        <v>0.85</v>
      </c>
      <c r="AJ43" s="49">
        <f>ROUNDDOWN(INT(Inputs!$B$7)*AI43+0.000000001,0)</f>
        <v>170</v>
      </c>
      <c r="AK43" s="50">
        <f>AJ43*Monthly!E41*$AJ$4</f>
        <v>2249100</v>
      </c>
      <c r="AL43" s="50">
        <f>AK43-(Monthly!S41-Monthly!R41)-AJ43*Monthly!Q41</f>
        <v>788287.5</v>
      </c>
      <c r="AM43" s="50">
        <f>AK43*MAX(0,1-(MIN(MAX(Inputs!$B$33,0),60)/30))+AK42*MAX(0,1-ABS((MIN(MAX(Inputs!$B$33,0),60)/30)-1))+AK41*MAX(0,(MIN(MAX(Inputs!$B$33,0),60)/30)-1)</f>
        <v>2249100</v>
      </c>
      <c r="AN43" s="50">
        <f>AN42+AM43-(Monthly!S41-Monthly!R41)-AJ43*Monthly!Q41-Monthly!X41-Monthly!Y41</f>
        <v>-3288600</v>
      </c>
      <c r="AO43" s="47" t="str">
        <f t="shared" si="4"/>
        <v/>
      </c>
      <c r="AQ43" s="48">
        <f>IF($A43=0,0,IF(OR(Inputs!$B$38&lt;=1,$A43&gt;=Inputs!$B$38),$AT$4,Inputs!$B$36+($AT$4-Inputs!$B$36)*($A43-1)/(Inputs!$B$38-1)))</f>
        <v>0.85</v>
      </c>
      <c r="AR43" s="49">
        <f>ROUNDDOWN(INT(Inputs!$B$7)*AQ43+0.000000001,0)</f>
        <v>170</v>
      </c>
      <c r="AS43" s="50">
        <f>AR43*Monthly!E41*$AR$4</f>
        <v>2474010</v>
      </c>
      <c r="AT43" s="50">
        <f>AS43-(Monthly!S41-Monthly!R41)-AR43*Monthly!Q41</f>
        <v>1013197.5</v>
      </c>
      <c r="AU43" s="50">
        <f>AS43*MAX(0,1-(MIN(MAX(Inputs!$B$33,0),60)/30))+AS42*MAX(0,1-ABS((MIN(MAX(Inputs!$B$33,0),60)/30)-1))+AS41*MAX(0,(MIN(MAX(Inputs!$B$33,0),60)/30)-1)</f>
        <v>2474010</v>
      </c>
      <c r="AV43" s="50">
        <f>AV42+AU43-(Monthly!S41-Monthly!R41)-AR43*Monthly!Q41-Monthly!X41-Monthly!Y41</f>
        <v>3446265</v>
      </c>
      <c r="AW43" s="47">
        <f t="shared" si="5"/>
        <v>36</v>
      </c>
      <c r="AY43" s="48">
        <f>IF($A43=0,0,IF(OR(Inputs!$B$38&lt;=1,$A43&gt;=Inputs!$B$38),$BB$4,Inputs!$B$36+($BB$4-Inputs!$B$36)*($A43-1)/(Inputs!$B$38-1)))</f>
        <v>0.95</v>
      </c>
      <c r="AZ43" s="49">
        <f>ROUNDDOWN(INT(Inputs!$B$7)*AY43+0.000000001,0)</f>
        <v>190</v>
      </c>
      <c r="BA43" s="50">
        <f>AZ43*Monthly!E41*$AZ$4</f>
        <v>2262330</v>
      </c>
      <c r="BB43" s="50">
        <f>BA43-(Monthly!S41-Monthly!R41)-AZ43*Monthly!Q41</f>
        <v>768442.5</v>
      </c>
      <c r="BC43" s="50">
        <f>BA43*MAX(0,1-(MIN(MAX(Inputs!$B$33,0),60)/30))+BA42*MAX(0,1-ABS((MIN(MAX(Inputs!$B$33,0),60)/30)-1))+BA41*MAX(0,(MIN(MAX(Inputs!$B$33,0),60)/30)-1)</f>
        <v>2262330</v>
      </c>
      <c r="BD43" s="50">
        <f>BD42+BC43-(Monthly!S41-Monthly!R41)-AZ43*Monthly!Q41-Monthly!X41-Monthly!Y41</f>
        <v>-4222155</v>
      </c>
      <c r="BE43" s="47" t="str">
        <f t="shared" si="6"/>
        <v/>
      </c>
      <c r="BG43" s="48">
        <f>IF($A43=0,0,IF(OR(Inputs!$B$38&lt;=1,$A43&gt;=Inputs!$B$38),$BJ$4,Inputs!$B$36+($BJ$4-Inputs!$B$36)*($A43-1)/(Inputs!$B$38-1)))</f>
        <v>0.95</v>
      </c>
      <c r="BH43" s="49">
        <f>ROUNDDOWN(INT(Inputs!$B$7)*BG43+0.000000001,0)</f>
        <v>190</v>
      </c>
      <c r="BI43" s="50">
        <f>BH43*Monthly!E41*$BH$4</f>
        <v>2513700</v>
      </c>
      <c r="BJ43" s="50">
        <f>BI43-(Monthly!S41-Monthly!R41)-BH43*Monthly!Q41</f>
        <v>1019812.5</v>
      </c>
      <c r="BK43" s="50">
        <f>BI43*MAX(0,1-(MIN(MAX(Inputs!$B$33,0),60)/30))+BI42*MAX(0,1-ABS((MIN(MAX(Inputs!$B$33,0),60)/30)-1))+BI41*MAX(0,(MIN(MAX(Inputs!$B$33,0),60)/30)-1)</f>
        <v>2513700</v>
      </c>
      <c r="BL43" s="50">
        <f>BL42+BK43-(Monthly!S41-Monthly!R41)-BH43*Monthly!Q41-Monthly!X41-Monthly!Y41</f>
        <v>3263400</v>
      </c>
      <c r="BM43" s="47">
        <f t="shared" si="7"/>
        <v>36</v>
      </c>
      <c r="BO43" s="48">
        <f>IF($A43=0,0,IF(OR(Inputs!$B$38&lt;=1,$A43&gt;=Inputs!$B$38),$BR$4,Inputs!$B$36+($BR$4-Inputs!$B$36)*($A43-1)/(Inputs!$B$38-1)))</f>
        <v>0.95</v>
      </c>
      <c r="BP43" s="49">
        <f>ROUNDDOWN(INT(Inputs!$B$7)*BO43+0.000000001,0)</f>
        <v>190</v>
      </c>
      <c r="BQ43" s="50">
        <f>BP43*Monthly!E41*$BP$4</f>
        <v>2765070</v>
      </c>
      <c r="BR43" s="50">
        <f>BQ43-(Monthly!S41-Monthly!R41)-BP43*Monthly!Q41</f>
        <v>1271182.5</v>
      </c>
      <c r="BS43" s="50">
        <f>BQ43*MAX(0,1-(MIN(MAX(Inputs!$B$33,0),60)/30))+BQ42*MAX(0,1-ABS((MIN(MAX(Inputs!$B$33,0),60)/30)-1))+BQ41*MAX(0,(MIN(MAX(Inputs!$B$33,0),60)/30)-1)</f>
        <v>2765070</v>
      </c>
      <c r="BT43" s="50">
        <f>BT42+BS43-(Monthly!S41-Monthly!R41)-BP43*Monthly!Q41-Monthly!X41-Monthly!Y41</f>
        <v>10748955</v>
      </c>
      <c r="BU43" s="47">
        <f t="shared" si="8"/>
        <v>36</v>
      </c>
    </row>
  </sheetData>
  <mergeCells count="9">
    <mergeCell ref="BO3:BU3"/>
    <mergeCell ref="C3:I3"/>
    <mergeCell ref="S3:Y3"/>
    <mergeCell ref="K3:Q3"/>
    <mergeCell ref="AA3:AG3"/>
    <mergeCell ref="BG3:BM3"/>
    <mergeCell ref="AI3:AO3"/>
    <mergeCell ref="AQ3:AW3"/>
    <mergeCell ref="AY3:BE3"/>
  </mergeCells>
  <conditionalFormatting sqref="E7:H43">
    <cfRule type="cellIs" dxfId="17" priority="2" stopIfTrue="1" operator="lessThanOrEqual">
      <formula>-99999.5</formula>
    </cfRule>
    <cfRule type="cellIs" dxfId="16" priority="1" stopIfTrue="1" operator="lessThanOrEqual">
      <formula>-9999999.5</formula>
    </cfRule>
  </conditionalFormatting>
  <conditionalFormatting sqref="M7:P43">
    <cfRule type="cellIs" dxfId="15" priority="9" stopIfTrue="1" operator="lessThanOrEqual">
      <formula>-9999999.5</formula>
    </cfRule>
    <cfRule type="cellIs" dxfId="14" priority="10" stopIfTrue="1" operator="lessThanOrEqual">
      <formula>-99999.5</formula>
    </cfRule>
  </conditionalFormatting>
  <conditionalFormatting sqref="U7:X43">
    <cfRule type="cellIs" dxfId="13" priority="17" stopIfTrue="1" operator="lessThanOrEqual">
      <formula>-9999999.5</formula>
    </cfRule>
    <cfRule type="cellIs" dxfId="12" priority="18" stopIfTrue="1" operator="lessThanOrEqual">
      <formula>-99999.5</formula>
    </cfRule>
  </conditionalFormatting>
  <conditionalFormatting sqref="AC7:AF43">
    <cfRule type="cellIs" dxfId="11" priority="25" stopIfTrue="1" operator="lessThanOrEqual">
      <formula>-9999999.5</formula>
    </cfRule>
    <cfRule type="cellIs" dxfId="10" priority="26" stopIfTrue="1" operator="lessThanOrEqual">
      <formula>-99999.5</formula>
    </cfRule>
  </conditionalFormatting>
  <conditionalFormatting sqref="AK7:AN43">
    <cfRule type="cellIs" dxfId="9" priority="34" stopIfTrue="1" operator="lessThanOrEqual">
      <formula>-99999.5</formula>
    </cfRule>
    <cfRule type="cellIs" dxfId="8" priority="33" stopIfTrue="1" operator="lessThanOrEqual">
      <formula>-9999999.5</formula>
    </cfRule>
  </conditionalFormatting>
  <conditionalFormatting sqref="AS7:AV43">
    <cfRule type="cellIs" dxfId="7" priority="42" stopIfTrue="1" operator="lessThanOrEqual">
      <formula>-99999.5</formula>
    </cfRule>
    <cfRule type="cellIs" dxfId="6" priority="41" stopIfTrue="1" operator="lessThanOrEqual">
      <formula>-9999999.5</formula>
    </cfRule>
  </conditionalFormatting>
  <conditionalFormatting sqref="BA7:BD43">
    <cfRule type="cellIs" dxfId="5" priority="50" stopIfTrue="1" operator="lessThanOrEqual">
      <formula>-99999.5</formula>
    </cfRule>
    <cfRule type="cellIs" dxfId="4" priority="49" stopIfTrue="1" operator="lessThanOrEqual">
      <formula>-9999999.5</formula>
    </cfRule>
  </conditionalFormatting>
  <conditionalFormatting sqref="BI7:BL43">
    <cfRule type="cellIs" dxfId="3" priority="58" stopIfTrue="1" operator="lessThanOrEqual">
      <formula>-99999.5</formula>
    </cfRule>
    <cfRule type="cellIs" dxfId="2" priority="57" stopIfTrue="1" operator="lessThanOrEqual">
      <formula>-9999999.5</formula>
    </cfRule>
  </conditionalFormatting>
  <conditionalFormatting sqref="BQ7:BT43">
    <cfRule type="cellIs" dxfId="1" priority="66" stopIfTrue="1" operator="lessThanOrEqual">
      <formula>-99999.5</formula>
    </cfRule>
    <cfRule type="cellIs" dxfId="0" priority="65" stopIfTrue="1" operator="lessThanOrEqual">
      <formula>-9999999.5</formula>
    </cfRule>
  </conditionalFormatting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Read me</vt:lpstr>
      <vt:lpstr>Inputs</vt:lpstr>
      <vt:lpstr>Summary</vt:lpstr>
      <vt:lpstr>Monthly</vt:lpstr>
      <vt:lpstr>Sensitivity workings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Robin Sharma</cp:lastModifiedBy>
  <dcterms:created xsi:type="dcterms:W3CDTF">2026-10-18T07:21:41Z</dcterms:created>
  <dcterms:modified xsi:type="dcterms:W3CDTF">2026-10-18T07:21:42Z</dcterms:modified>
</cp:coreProperties>
</file>